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uestos" state="visible" r:id="rId4"/>
    <sheet sheetId="2" name="Modelo Houston" state="visible" r:id="rId5"/>
    <sheet sheetId="3" name="Red 5 años" state="visible" r:id="rId6"/>
    <sheet sheetId="4" name="Resumen" state="visible" r:id="rId7"/>
    <sheet sheetId="5" name="Disciplina financiera" state="visible" r:id="rId8"/>
    <sheet sheetId="6" name="Monte Carlo" state="visible" r:id="rId9"/>
    <sheet sheetId="7" name="Sensibilidad" state="visible" r:id="rId10"/>
    <sheet sheetId="8" name="Fuentes" state="visible" r:id="rId11"/>
  </sheets>
  <calcPr calcId="171027" fullCalcOnLoad="1"/>
</workbook>
</file>

<file path=xl/sharedStrings.xml><?xml version="1.0" encoding="utf-8"?>
<sst xmlns="http://schemas.openxmlformats.org/spreadsheetml/2006/main" count="729" uniqueCount="297">
  <si>
    <t>Supuestos (azul = editable). Cambia un valor y todo el modelo se recalcula.</t>
  </si>
  <si>
    <t>Conservador</t>
  </si>
  <si>
    <t>Base</t>
  </si>
  <si>
    <t>Optimista</t>
  </si>
  <si>
    <t>Unidad</t>
  </si>
  <si>
    <t>Fuente o lógica</t>
  </si>
  <si>
    <t>MERCADO Y ALCANCE (HOUSTON)</t>
  </si>
  <si>
    <t>Población de origen mexicano en Houston (metro)</t>
  </si>
  <si>
    <t>personas</t>
  </si>
  <si>
    <t>ACS 2020–2024 (5 años), tabla B03001, U.S. Census Bureau</t>
  </si>
  <si>
    <t>% que es aficionado del América</t>
  </si>
  <si>
    <t>%</t>
  </si>
  <si>
    <t>Supuesto. Techo = 15M aficionados del club en EE. UU. (Grupo Águilas, dic 2025) ÷ 38.0M de origen mexicano (ACS 2023) = 39%</t>
  </si>
  <si>
    <t>% de aficionados alcanzados por El Nido en el año 1</t>
  </si>
  <si>
    <t>Supuesto: redes, Casas Águila, TV local y app. Validación: costo de medios por persona alcanzada en el año 1 ≈ 0.74 USD (base)</t>
  </si>
  <si>
    <t>Crecimiento anual del alcance</t>
  </si>
  <si>
    <t>Supuesto prudente; tope 90% del total de aficionados</t>
  </si>
  <si>
    <t>EMBUDO: SEGUIDOR → MIEMBRO GRATIS → MIEMBRO DE PAGA</t>
  </si>
  <si>
    <t>% del alcance que se registra gratis (app/membresía Águila)</t>
  </si>
  <si>
    <t>Supuesto. 90% de los fans de Liga MX en EE. UU. quiere más formas de mostrar orgullo por su cultura (TelevisaUnivision/Kantar 2023)</t>
  </si>
  <si>
    <t>Miembros gratis que siguen activos al año siguiente</t>
  </si>
  <si>
    <t>Supuesto prudente para una membresía gratuita; se valida en la Fase 0</t>
  </si>
  <si>
    <t>% de miembros gratis activos que paga membresía</t>
  </si>
  <si>
    <t>Benchmark freemium: mediana 2.18% (RevenueCat 2025); 3–5% se considera bueno</t>
  </si>
  <si>
    <t>Precio promedio de membresía de paga (mezcla individual 49 / familia 89)</t>
  </si>
  <si>
    <t>USD/año</t>
  </si>
  <si>
    <t>Propuesta. Referencia: Madridista Premium €35/año (Real Madrid)</t>
  </si>
  <si>
    <t>Costo de beneficios por miembro de paga (kit, envío)</t>
  </si>
  <si>
    <t>Supuesto</t>
  </si>
  <si>
    <t>COMERCIO, EVENTOS Y PATROCINIO</t>
  </si>
  <si>
    <t>Compra anual en AmeShop USA por miembro gratis activo</t>
  </si>
  <si>
    <t>USD</t>
  </si>
  <si>
    <t>Supuesto: 1 de cada 5 compra un artículo de ~75 USD</t>
  </si>
  <si>
    <t>Compra anual en AmeShop USA por miembro de paga</t>
  </si>
  <si>
    <t>Supuesto: jersey oficial + descuento de miembro</t>
  </si>
  <si>
    <t>Regalía del club sobre ventas de mercancía en EE. UU.</t>
  </si>
  <si>
    <t>Supuesto: la tienda en EE. UU. opera vía licenciatario; las licencias deportivas pagan típicamente 8–15% de regalía</t>
  </si>
  <si>
    <t>% de compras y boletos atribuibles a El Nido (incrementales)</t>
  </si>
  <si>
    <t>Supuesto: solo cuenta lo que El Nido genera; parte de los miembros ya compraba antes</t>
  </si>
  <si>
    <t>Casas Águila (sedes oficiales: bares y restaurantes)</t>
  </si>
  <si>
    <t>sedes</t>
  </si>
  <si>
    <t>Propuesta (Fase 0: entrevistas con 40 bares)</t>
  </si>
  <si>
    <t>Cuota anual por Casa Águila</t>
  </si>
  <si>
    <t>Propuesta</t>
  </si>
  <si>
    <t>Equipos en la Copa Barrio Águila (por temporada, 2 al año)</t>
  </si>
  <si>
    <t>equipos</t>
  </si>
  <si>
    <t>Propuesta, con Nido Águila Houston City</t>
  </si>
  <si>
    <t>Inscripción por equipo</t>
  </si>
  <si>
    <t>Costo operativo de la Copa (% de inscripciones)</t>
  </si>
  <si>
    <t>Supuesto: canchas, árbitros, premios</t>
  </si>
  <si>
    <t>Asistentes a la Noche del Nido (solo lanzamiento, año 1)</t>
  </si>
  <si>
    <t>Propuesta: festival de lanzamiento en 2027; después, fiestas en las Casas Águila</t>
  </si>
  <si>
    <t>Boleto promedio Noche del Nido (miembros gratis)</t>
  </si>
  <si>
    <t>Contactos de marca por persona alcanzada al año</t>
  </si>
  <si>
    <t>impresiones</t>
  </si>
  <si>
    <t>Supuesto prudente: ~1–2 contenidos por semana + sedes + eventos</t>
  </si>
  <si>
    <t>CPM de patrocinio (USD por mil impresiones)</t>
  </si>
  <si>
    <t>Supuesto; mezcla redes y presencia física</t>
  </si>
  <si>
    <t>% del inventario de patrocinio vendido</t>
  </si>
  <si>
    <t>Supuesto prudente para un equipo comercial pequeño. 84% de fans de Liga MX considera más a marcas patrocinadoras (TelevisaUnivision/Kantar 2023)</t>
  </si>
  <si>
    <t>Boletos comprados en preventa por cada miembro gratis activo</t>
  </si>
  <si>
    <t>boletos/año</t>
  </si>
  <si>
    <t>Supuesto: 3 de cada 100 miembros gratis compran un boleto al año. 85% de los fans de Liga MX iría a un partido en su zona (TelevisaUnivision/Kantar 2023)</t>
  </si>
  <si>
    <t>Boletos comprados en preventa por cada miembro de paga</t>
  </si>
  <si>
    <t>Supuesto: el miembro compra para su familia</t>
  </si>
  <si>
    <t>Precio promedio del boleto</t>
  </si>
  <si>
    <t>Parte del boletaje que se queda el club</t>
  </si>
  <si>
    <t>Supuesto; el resto va al promotor y al estadio</t>
  </si>
  <si>
    <t>COSTOS DEL PROGRAMA (DECISIONES, IGUALES EN LOS 3 ESCENARIOS)</t>
  </si>
  <si>
    <t>Equipo local (líder de mercado y comunidad)</t>
  </si>
  <si>
    <t>Propuesta v5: 2 personas en Houston; datos y producción desde el equipo central del club (antes 3 personas, 300 mil)</t>
  </si>
  <si>
    <t>Producción de contenido bilingüe local</t>
  </si>
  <si>
    <t>Propuesta v5: producción local mínima; el resto lo hacen el equipo central y los creadores (antes 180 mil)</t>
  </si>
  <si>
    <t>Creadores americanistas (pago por resultado) y pauta mínima</t>
  </si>
  <si>
    <t>Propuesta v5: la distribución base va por los canales del club (6.1 M de seguidores en TikTok, 13 oct 2026); los creadores cobran un bono por miembro registrado con su código (antes 150 mil)</t>
  </si>
  <si>
    <t>Noche del Nido · festival de lanzamiento (año 1)</t>
  </si>
  <si>
    <t>Propuesta (ver activación)</t>
  </si>
  <si>
    <t>Aniversario en las Casas Águila (años siguientes)</t>
  </si>
  <si>
    <t>Propuesta: fiestas simultáneas en las Casas, sin festival masivo</t>
  </si>
  <si>
    <t>Tecnología y datos año 1 (CRM con Kraft Analytics Group, app)</t>
  </si>
  <si>
    <t>Tecnología y datos años siguientes</t>
  </si>
  <si>
    <t>Fase 0 de validación (nov–dic 2026, solo Houston; se carga en 2027)</t>
  </si>
  <si>
    <t>Propuesta: grupos de enfoque con familias, entrevistas a 40 bares, preventa de prueba y análisis de datos del club con Kraft Analytics Group</t>
  </si>
  <si>
    <t>Kit e instalación por Casa Águila nueva</t>
  </si>
  <si>
    <t>FINANZAS Y RÉPLICA</t>
  </si>
  <si>
    <t>Tasa de descuento anual (USD)</t>
  </si>
  <si>
    <t>Supuesto: tasa en dólares de un proyecto de marketing de un club ya establecido (tasa libre de riesgo ~4% + prima). La hoja Resumen muestra también el VPN al 15%</t>
  </si>
  <si>
    <t>Costo fijo de cada mercado réplica de Texas vs Houston</t>
  </si>
  <si>
    <t>x</t>
  </si>
  <si>
    <t>Supuesto: contenido, tecnología y marca se comparten. Los Ángeles paga 100%</t>
  </si>
  <si>
    <t>VALIDACIÓN CRUZADA (calculada)</t>
  </si>
  <si>
    <t>Costo de medios por persona alcanzada en el año 1 (medios ÷ alcance)</t>
  </si>
  <si>
    <t>USD/persona</t>
  </si>
  <si>
    <t>Entre 0.44 y 1.54 USD por persona al año. Con el CPM de 12 USD del modelo, 1 USD compra ~83 impresiones; el resto del alcance lo dan Casas, Copa, app y TV aliada, no solo medios pagados</t>
  </si>
  <si>
    <t>USD · Houston (mercado de prueba)</t>
  </si>
  <si>
    <t/>
  </si>
  <si>
    <t>2027</t>
  </si>
  <si>
    <t>2028</t>
  </si>
  <si>
    <t>2029</t>
  </si>
  <si>
    <t>Aficionados del América</t>
  </si>
  <si>
    <t>Alcance anual</t>
  </si>
  <si>
    <t>Nuevos miembros gratis</t>
  </si>
  <si>
    <t>Miembros gratis activos</t>
  </si>
  <si>
    <t>Miembros de paga</t>
  </si>
  <si>
    <t>Ingreso membresías</t>
  </si>
  <si>
    <t>Regalía de mercancía incremental (AmeShop USA)</t>
  </si>
  <si>
    <t>Cuotas Casas Águila</t>
  </si>
  <si>
    <t>Copa Barrio Águila (neto)</t>
  </si>
  <si>
    <t>Boletaje Noche del Nido (lanzamiento)</t>
  </si>
  <si>
    <t>Patrocinio local</t>
  </si>
  <si>
    <t>Boletaje incremental de partidos en Texas</t>
  </si>
  <si>
    <t>INGRESO TOTAL</t>
  </si>
  <si>
    <t>(−) Equipo local</t>
  </si>
  <si>
    <t>(−) Contenido</t>
  </si>
  <si>
    <t>(−) Medios y creadores</t>
  </si>
  <si>
    <t>(−) Noche del Nido / aniversario</t>
  </si>
  <si>
    <t>(−) Tecnología y datos</t>
  </si>
  <si>
    <t>(−) Beneficios a miembros de paga</t>
  </si>
  <si>
    <t>(−) Kits Casas Águila</t>
  </si>
  <si>
    <t>(−) Fase 0 de validación</t>
  </si>
  <si>
    <t>COSTO TOTAL</t>
  </si>
  <si>
    <t>FLUJO NETO</t>
  </si>
  <si>
    <t>Flujo acumulado</t>
  </si>
  <si>
    <t>Red de 4 mercados · USD · Houston 2027, Gran Los Ángeles 2028, Dallas–Fort Worth 2029, San Antonio + Austin 2030</t>
  </si>
  <si>
    <t>Parámetros por mercado</t>
  </si>
  <si>
    <t>Población</t>
  </si>
  <si>
    <t>Factor de alcance</t>
  </si>
  <si>
    <t>Factor de costo fijo</t>
  </si>
  <si>
    <t>Año de inicio</t>
  </si>
  <si>
    <t>Houston</t>
  </si>
  <si>
    <t>Gran Los Ángeles</t>
  </si>
  <si>
    <t>Dallas–Fort Worth</t>
  </si>
  <si>
    <t>f_rep (Supuestos, según escenario)</t>
  </si>
  <si>
    <t>San Antonio + Austin</t>
  </si>
  <si>
    <t>ESCENARIO CONSERVADOR</t>
  </si>
  <si>
    <t>2030</t>
  </si>
  <si>
    <t>2031</t>
  </si>
  <si>
    <t xml:space="preserve">   Aficionados del América</t>
  </si>
  <si>
    <t xml:space="preserve">   Alcance anual</t>
  </si>
  <si>
    <t xml:space="preserve">   Nuevos miembros gratis</t>
  </si>
  <si>
    <t xml:space="preserve">   Miembros gratis activos</t>
  </si>
  <si>
    <t xml:space="preserve">   Miembros de paga</t>
  </si>
  <si>
    <t xml:space="preserve">   Ingreso membresías</t>
  </si>
  <si>
    <t xml:space="preserve">   Regalía de mercancía incremental (AmeShop USA)</t>
  </si>
  <si>
    <t xml:space="preserve">   Cuotas Casas Águila</t>
  </si>
  <si>
    <t xml:space="preserve">   Copa Barrio Águila (neto)</t>
  </si>
  <si>
    <t xml:space="preserve">   Boletaje Noche del Nido (lanzamiento)</t>
  </si>
  <si>
    <t xml:space="preserve">   Patrocinio local</t>
  </si>
  <si>
    <t xml:space="preserve">   Boletaje incremental de partidos en Texas</t>
  </si>
  <si>
    <t xml:space="preserve">   INGRESO TOTAL</t>
  </si>
  <si>
    <t xml:space="preserve">   (−) Equipo local</t>
  </si>
  <si>
    <t xml:space="preserve">   (−) Contenido</t>
  </si>
  <si>
    <t xml:space="preserve">   (−) Medios y creadores</t>
  </si>
  <si>
    <t xml:space="preserve">   (−) Noche del Nido / aniversario</t>
  </si>
  <si>
    <t xml:space="preserve">   (−) Tecnología y datos</t>
  </si>
  <si>
    <t xml:space="preserve">   (−) Beneficios a miembros de paga</t>
  </si>
  <si>
    <t xml:space="preserve">   (−) Kits Casas Águila</t>
  </si>
  <si>
    <t xml:space="preserve">   (−) Fase 0 de validación</t>
  </si>
  <si>
    <t xml:space="preserve">   COSTO TOTAL</t>
  </si>
  <si>
    <t xml:space="preserve">   FLUJO NETO</t>
  </si>
  <si>
    <t xml:space="preserve">   Flujo acumulado</t>
  </si>
  <si>
    <t>RED · Ingreso total</t>
  </si>
  <si>
    <t>RED · Costo total</t>
  </si>
  <si>
    <t>RED · Miembros gratis activos</t>
  </si>
  <si>
    <t>RED · Flujo neto</t>
  </si>
  <si>
    <t>RED · Flujo acumulado</t>
  </si>
  <si>
    <t>ESCENARIO BASE</t>
  </si>
  <si>
    <t>ESCENARIO OPTIMISTA</t>
  </si>
  <si>
    <t>HOUSTON · prueba del modelo (2027–2029)</t>
  </si>
  <si>
    <t>Cómo leerlo</t>
  </si>
  <si>
    <t>Inversión total (3 años)</t>
  </si>
  <si>
    <t>Ingreso total (3 años)</t>
  </si>
  <si>
    <t>Membresías, regalía de mercancía, Casas, Copa, Noche del Nido, patrocinio y boletaje</t>
  </si>
  <si>
    <t>Flujo neto acumulado (3 años)</t>
  </si>
  <si>
    <t>Flujo neto 2027</t>
  </si>
  <si>
    <t>Flujo neto 2028</t>
  </si>
  <si>
    <t>Flujo neto 2029</t>
  </si>
  <si>
    <t>ROI ((ingreso − costo) ÷ costo)</t>
  </si>
  <si>
    <t>VPN (tasa de cada escenario)</t>
  </si>
  <si>
    <t>VPN al 15%</t>
  </si>
  <si>
    <t>Prueba con una tasa más exigente</t>
  </si>
  <si>
    <t>Miembros gratis activos (2029)</t>
  </si>
  <si>
    <t>Aficionado activo con datos propios del club</t>
  </si>
  <si>
    <t>Miembros de paga (2029)</t>
  </si>
  <si>
    <t>Cliente recurrente</t>
  </si>
  <si>
    <t>Costo neto por aficionado activo (3 años)</t>
  </si>
  <si>
    <t>USD de flujo neto negativo por miembro activo al cierre (negativo = ganancia)</t>
  </si>
  <si>
    <t>Inversión por miembro de paga (2029)</t>
  </si>
  <si>
    <t>USD de inversión de 3 años por cada miembro de paga al cierre</t>
  </si>
  <si>
    <t>RED DE 4 MERCADOS (2027–2031)</t>
  </si>
  <si>
    <t>Inversión total (5 años)</t>
  </si>
  <si>
    <t>Ingreso total (5 años)</t>
  </si>
  <si>
    <t>Flujo neto acumulado (5 años)</t>
  </si>
  <si>
    <t>ROI</t>
  </si>
  <si>
    <t>Año de recuperación</t>
  </si>
  <si>
    <t>No recupera en el periodo</t>
  </si>
  <si>
    <t>Primer año con flujo acumulado positivo</t>
  </si>
  <si>
    <t>Miembros gratis activos (2031)</t>
  </si>
  <si>
    <t>Comunidad con datos propios en 4 mercados</t>
  </si>
  <si>
    <t>Costo neto por aficionado activo (5 años)</t>
  </si>
  <si>
    <t>USD (negativo = el programa deja ganancia)</t>
  </si>
  <si>
    <t>PLAN POR ETAPAS (la red solo se abre si Houston demuestra tracción)</t>
  </si>
  <si>
    <t>Regla</t>
  </si>
  <si>
    <t>VPN del camino que se toma</t>
  </si>
  <si>
    <t>Cada escenario sigue su regla</t>
  </si>
  <si>
    <t>Regla conservador</t>
  </si>
  <si>
    <t>Activos 2027 &lt; 11 mil (60% de la meta base): se sale en enero de 2028</t>
  </si>
  <si>
    <t>Regla base</t>
  </si>
  <si>
    <t>Activos 2027 ≥ 15 mil y ≥ 600 de paga (≈80% de la meta base): se abre Los Ángeles en 2028 y la red</t>
  </si>
  <si>
    <t>Regla optimista</t>
  </si>
  <si>
    <t>Optimista: misma regla, se abre la red</t>
  </si>
  <si>
    <t>Regla intermedia: activos 2027 entre 11 y 15 mil (o &lt; 600 de paga) → Houston sigue solo, sin abrir Los Ángeles</t>
  </si>
  <si>
    <t>1. CUÁNTO INVERTIR: el dinero se compromete por etapas (escenario base, USD)</t>
  </si>
  <si>
    <t>Fase 0 de validación (nov–dic 2026)</t>
  </si>
  <si>
    <t>Se decide con datos del club antes de gastar lo demás</t>
  </si>
  <si>
    <t>Houston año 1 (2027, incluye la Fase 0): compromiso firme</t>
  </si>
  <si>
    <t>Lo único que se arriesga antes de la compuerta</t>
  </si>
  <si>
    <t>Houston años 2 y 3: solo si 2027 cierra con ≥ 11 mil activos</t>
  </si>
  <si>
    <t>Los Ángeles, Dallas y San Antonio + Austin: solo si ≥ 15 mil activos y ≥ 600 de paga</t>
  </si>
  <si>
    <t>Cada mercado se abre solo si el anterior cumple su meta</t>
  </si>
  <si>
    <t>Total de la red a 5 años (máximo, si todo pasa las compuertas)</t>
  </si>
  <si>
    <t>Pérdida en efectivo si se sale en enero de 2028 (conservador)</t>
  </si>
  <si>
    <t>2. REGLA DE TECHO: no pagar por un aficionado activo más de lo que cuesta un contacto con anuncios</t>
  </si>
  <si>
    <t>Costo de un contacto (lead) en Facebook · Artes y Entretenimiento (USD)</t>
  </si>
  <si>
    <t>LocaliQ, Facebook Advertising Benchmarks for 2026 (23 sep 2026)</t>
  </si>
  <si>
    <t>Costo de un contacto (lead) en Facebook · promedio de 20 industrias (USD)</t>
  </si>
  <si>
    <t>LocaliQ (misma fuente). Un aficionado activo vale más que un contacto: interactúa cada mes y deja datos</t>
  </si>
  <si>
    <t>Houston: costo neto por activo (3 años) si 2027 cierra con 11,000 activos</t>
  </si>
  <si>
    <t>Houston: costo neto por activo (3 años) si 2027 cierra con 15,000 activos</t>
  </si>
  <si>
    <t>Activos en 2027 con los que Houston iguala el costo promedio de un contacto (27.39)</t>
  </si>
  <si>
    <t>Activos en 2027 con los que Houston iguala el contacto de Artes y Entretenimiento (14.59)</t>
  </si>
  <si>
    <t>3. COSTO-BENEFICIO (escenario base, USD)</t>
  </si>
  <si>
    <t>Inversión</t>
  </si>
  <si>
    <t>Beneficio en caja</t>
  </si>
  <si>
    <t>Activos con datos</t>
  </si>
  <si>
    <t>Costo neto por activo</t>
  </si>
  <si>
    <t>Conseguir esos contactos con anuncios costaría (14.59 a 27.39 c/u)</t>
  </si>
  <si>
    <t>Houston, 3 años (base)</t>
  </si>
  <si>
    <t>716 mil a 1,344 mil USD</t>
  </si>
  <si>
    <t>Red de 4 mercados, 5 años (base)</t>
  </si>
  <si>
    <t>3,949 mil a 7,414 mil USD</t>
  </si>
  <si>
    <t>Monte Carlo con compuertas: costo neto por activo (promedio / típico P50)</t>
  </si>
  <si>
    <t>4. EFICIENCIA CRECIENTE: primeros 3 años de cada mercado (base)</t>
  </si>
  <si>
    <t>Mercado (año de inicio)</t>
  </si>
  <si>
    <t>Ingreso</t>
  </si>
  <si>
    <t>Activos al 3er año</t>
  </si>
  <si>
    <t>Houston (2027)</t>
  </si>
  <si>
    <t>Gran Los Ángeles (2028)</t>
  </si>
  <si>
    <t>Dallas–Fort Worth (2029)</t>
  </si>
  <si>
    <t>San Antonio + Austin (2030)</t>
  </si>
  <si>
    <t>5. POR QUÉ NO MÁS: alternativas con más dinero, calculadas con el mismo modelo</t>
  </si>
  <si>
    <t>Diseño v4 (3 personas, más contenido y medios): inversión extra en Houston</t>
  </si>
  <si>
    <t>Mismos aficionados; costo neto por activo 30.3 USD (sobre el promedio de un contacto). VPN Monte Carlo -2,086 mil</t>
  </si>
  <si>
    <t>Abrir Los Ángeles junto con Houston en 2027: dinero comprometido el año 1</t>
  </si>
  <si>
    <t>Col. B: simultáneo · col. C: plan por etapas</t>
  </si>
  <si>
    <t xml:space="preserve">   VPN promedio en 20,000 simulaciones (simultáneo sin compuerta / plan con compuerta)</t>
  </si>
  <si>
    <t xml:space="preserve">   Escenario malo P10 (simultáneo / plan)</t>
  </si>
  <si>
    <t>Mismo valor esperado, más riesgo: se prefiere el plan por etapas</t>
  </si>
  <si>
    <t>Duplicar creadores y pauta (+100 mil al año): inversión extra en 3 años</t>
  </si>
  <si>
    <t>Para no destruir valor, el alcance tendría que subir 47% (23,151 activos más), a 14.4 USD por activo extra: igual que comprar anuncios. Por eso a los creadores se les paga por resultado</t>
  </si>
  <si>
    <t>20,000 simulaciones (USD)</t>
  </si>
  <si>
    <t>Promedio</t>
  </si>
  <si>
    <t>Prob. &gt; 0</t>
  </si>
  <si>
    <t>Malo (P10)</t>
  </si>
  <si>
    <t>Típico (P50)</t>
  </si>
  <si>
    <t>Bueno (P90)</t>
  </si>
  <si>
    <t>VPN de la red completa sin compuertas (Nido ligero)</t>
  </si>
  <si>
    <t>VPN con compuertas (Nido ligero)</t>
  </si>
  <si>
    <t>Costo neto por aficionado activo con datos, con compuertas (USD)</t>
  </si>
  <si>
    <t>VPN con compuertas · diseño anterior v4 (equipo de 3, más contenido y medios)</t>
  </si>
  <si>
    <t>Con compuertas: se sale en 2% de los casos y se abre la red en 66%.</t>
  </si>
  <si>
    <t>Método: cada supuesto de respuesta de la afición se sortea por separado (triangular conservador–base–optimista); presupuestos, precio y tasa quedan en el base. Pesar 25/50/25 sobrestima el valor porque el optimista supone que todo sale bien a la vez.</t>
  </si>
  <si>
    <t>Variable (Houston, escenario Base, ±20%) · calculado con el mismo modelo</t>
  </si>
  <si>
    <t>Flujo 3 años (−20%)</t>
  </si>
  <si>
    <t>Flujo 3 años (+20%)</t>
  </si>
  <si>
    <t>Rango</t>
  </si>
  <si>
    <t>Flujo 3 años Houston, escenario Base: -798,678 USD.</t>
  </si>
  <si>
    <t>Doble entrada (Houston, 3 años, base): VPN en USD · registro gratis (filas) × conversión a paga (columnas)</t>
  </si>
  <si>
    <t>Paga 2.5%</t>
  </si>
  <si>
    <t>Paga 4.0%</t>
  </si>
  <si>
    <t>Paga 6.0%</t>
  </si>
  <si>
    <t>Registro gratis 6.0% del alcance</t>
  </si>
  <si>
    <t>Registro gratis 7.5% del alcance</t>
  </si>
  <si>
    <t>Registro gratis 9.0% del alcance</t>
  </si>
  <si>
    <t>Registro gratis 10.5% del alcance</t>
  </si>
  <si>
    <t>Registro gratis 12.0% del alcance</t>
  </si>
  <si>
    <t>Doble entrada: costo neto por aficionado activo (USD)</t>
  </si>
  <si>
    <t>U.S. Census Bureau, American Community Survey 2020–2024 (5 años), tabla B03001 (origen hispano por grupo específico), vía Census Reporter.</t>
  </si>
  <si>
    <t>Nielsen, Local Television Market Universe Estimates (1 ene 2026): hogares hispanos con TV por DMA.</t>
  </si>
  <si>
    <t>TelevisaUnivision y Kantar, The Power of Liga MX Fans (15 may 2023; 1,401 hispanos adultos en EE. UU.).</t>
  </si>
  <si>
    <t>Grupo Águilas / General Atlantic / Kraft Analytics Group (24 dic 2025): 45M aficionados (30M México, 15M EE. UU.).</t>
  </si>
  <si>
    <t>RevenueCat, State of Subscription Apps 2025 (conversión freemium mediana 2.18%).</t>
  </si>
  <si>
    <t>Real Madrid, Madridista Premium €35/año.</t>
  </si>
  <si>
    <t>BEA, Regional Price Parities by Metropolitan Area 2023.</t>
  </si>
  <si>
    <t>Google Trends, tema Club América (/m/03_dm0) por DMA, oct 2025–oct 2026.</t>
  </si>
  <si>
    <t>LocaliQ (S. Marino), Facebook Advertising Benchmarks for 2026 (23 sep 2026): costo por contacto (lead) 27.39 USD promedio; 14.59 USD en Artes y Entretenimiento.</t>
  </si>
  <si>
    <t>YouTube, páginas públicas de los canales (pestaña Videos), consulta 21 oct 2026: suscriptores y mediana de vistas de los últimos 30 videos (fuentes/youtube-clubes-2026-10-21.json).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</si>
</sst>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x"/>
    <numFmt numFmtId="166" formatCode="0.0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A1F44"/>
    </font>
    <font>
      <color rgb="FF1F4FD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A1F44"/>
      </patternFill>
    </fill>
    <fill>
      <patternFill patternType="solid">
        <fgColor rgb="FFFD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3" borderId="0" xfId="0" applyFont="1" applyFill="1"/>
    <xf numFmtId="3" fontId="3" fillId="0" borderId="0" xfId="0" applyNumberFormat="1" applyFont="1"/>
    <xf numFmtId="164" fontId="3" fillId="0" borderId="0" xfId="0" applyNumberFormat="1" applyFont="1"/>
    <xf numFmtId="2" fontId="3" fillId="0" borderId="0" xfId="0" applyNumberFormat="1" applyFont="1"/>
    <xf numFmtId="165" fontId="3" fillId="0" borderId="0" xfId="0" applyNumberFormat="1" applyFont="1"/>
    <xf numFmtId="2" fontId="0" fillId="0" borderId="0" xfId="0" applyNumberFormat="1"/>
    <xf numFmtId="0" fontId="4" fillId="0" borderId="0" xfId="0" applyFont="1"/>
    <xf numFmtId="3" fontId="0" fillId="0" borderId="0" xfId="0" applyNumberFormat="1"/>
    <xf numFmtId="3" fontId="4" fillId="0" borderId="0" xfId="0" applyNumberFormat="1" applyFont="1"/>
    <xf numFmtId="164" fontId="0" fillId="0" borderId="0" xfId="0" applyNumberFormat="1"/>
    <xf numFmtId="4" fontId="0" fillId="0" borderId="0" xfId="0" applyNumberFormat="1"/>
    <xf numFmtId="49" fontId="0" fillId="0" borderId="0" xfId="0" applyNumberFormat="1"/>
    <xf numFmtId="166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62" customWidth="1"/>
    <col min="2" max="4" width="15" customWidth="1"/>
    <col min="5" max="5" width="12" customWidth="1"/>
    <col min="6" max="6" width="11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" x14ac:dyDescent="0.25">
      <c r="A2" s="2" t="s">
        <v>6</v>
      </c>
    </row>
    <row r="3" spans="1:6" x14ac:dyDescent="0.25">
      <c r="A3" t="s">
        <v>7</v>
      </c>
      <c r="B3" s="3">
        <v>1942584</v>
      </c>
      <c r="C3" s="3">
        <v>1942584</v>
      </c>
      <c r="D3" s="3">
        <v>1942584</v>
      </c>
      <c r="E3" t="s">
        <v>8</v>
      </c>
      <c r="F3" t="s">
        <v>9</v>
      </c>
    </row>
    <row r="4" spans="1:6" x14ac:dyDescent="0.25">
      <c r="A4" t="s">
        <v>10</v>
      </c>
      <c r="B4" s="4">
        <v>0.2</v>
      </c>
      <c r="C4" s="4">
        <v>0.3</v>
      </c>
      <c r="D4" s="4">
        <v>0.39</v>
      </c>
      <c r="E4" t="s">
        <v>11</v>
      </c>
      <c r="F4" t="s">
        <v>12</v>
      </c>
    </row>
    <row r="5" spans="1:6" x14ac:dyDescent="0.25">
      <c r="A5" t="s">
        <v>13</v>
      </c>
      <c r="B5" s="4">
        <v>0.25</v>
      </c>
      <c r="C5" s="4">
        <v>0.35</v>
      </c>
      <c r="D5" s="4">
        <v>0.45</v>
      </c>
      <c r="E5" t="s">
        <v>11</v>
      </c>
      <c r="F5" t="s">
        <v>14</v>
      </c>
    </row>
    <row r="6" spans="1:6" x14ac:dyDescent="0.25">
      <c r="A6" t="s">
        <v>15</v>
      </c>
      <c r="B6" s="4">
        <v>0.15</v>
      </c>
      <c r="C6" s="4">
        <v>0.25</v>
      </c>
      <c r="D6" s="4">
        <v>0.35</v>
      </c>
      <c r="E6" t="s">
        <v>11</v>
      </c>
      <c r="F6" t="s">
        <v>16</v>
      </c>
    </row>
    <row r="7" spans="1:1" x14ac:dyDescent="0.25">
      <c r="A7" s="2" t="s">
        <v>17</v>
      </c>
    </row>
    <row r="8" spans="1:6" x14ac:dyDescent="0.25">
      <c r="A8" t="s">
        <v>18</v>
      </c>
      <c r="B8" s="4">
        <v>0.06</v>
      </c>
      <c r="C8" s="4">
        <v>0.09</v>
      </c>
      <c r="D8" s="4">
        <v>0.12</v>
      </c>
      <c r="E8" t="s">
        <v>11</v>
      </c>
      <c r="F8" t="s">
        <v>19</v>
      </c>
    </row>
    <row r="9" spans="1:6" x14ac:dyDescent="0.25">
      <c r="A9" t="s">
        <v>20</v>
      </c>
      <c r="B9" s="4">
        <v>0.5</v>
      </c>
      <c r="C9" s="4">
        <v>0.6</v>
      </c>
      <c r="D9" s="4">
        <v>0.7</v>
      </c>
      <c r="E9" t="s">
        <v>11</v>
      </c>
      <c r="F9" t="s">
        <v>21</v>
      </c>
    </row>
    <row r="10" spans="1:6" x14ac:dyDescent="0.25">
      <c r="A10" t="s">
        <v>22</v>
      </c>
      <c r="B10" s="4">
        <v>0.025</v>
      </c>
      <c r="C10" s="4">
        <v>0.04</v>
      </c>
      <c r="D10" s="4">
        <v>0.06</v>
      </c>
      <c r="E10" t="s">
        <v>11</v>
      </c>
      <c r="F10" t="s">
        <v>23</v>
      </c>
    </row>
    <row r="11" spans="1:6" x14ac:dyDescent="0.25">
      <c r="A11" t="s">
        <v>24</v>
      </c>
      <c r="B11" s="3">
        <v>55</v>
      </c>
      <c r="C11" s="3">
        <v>62</v>
      </c>
      <c r="D11" s="3">
        <v>69</v>
      </c>
      <c r="E11" t="s">
        <v>25</v>
      </c>
      <c r="F11" t="s">
        <v>26</v>
      </c>
    </row>
    <row r="12" spans="1:6" x14ac:dyDescent="0.25">
      <c r="A12" t="s">
        <v>27</v>
      </c>
      <c r="B12" s="3">
        <v>20</v>
      </c>
      <c r="C12" s="3">
        <v>18</v>
      </c>
      <c r="D12" s="3">
        <v>16</v>
      </c>
      <c r="E12" t="s">
        <v>25</v>
      </c>
      <c r="F12" t="s">
        <v>28</v>
      </c>
    </row>
    <row r="13" spans="1:1" x14ac:dyDescent="0.25">
      <c r="A13" s="2" t="s">
        <v>29</v>
      </c>
    </row>
    <row r="14" spans="1:6" x14ac:dyDescent="0.25">
      <c r="A14" t="s">
        <v>30</v>
      </c>
      <c r="B14" s="3">
        <v>10</v>
      </c>
      <c r="C14" s="3">
        <v>15</v>
      </c>
      <c r="D14" s="3">
        <v>20</v>
      </c>
      <c r="E14" t="s">
        <v>31</v>
      </c>
      <c r="F14" t="s">
        <v>32</v>
      </c>
    </row>
    <row r="15" spans="1:6" x14ac:dyDescent="0.25">
      <c r="A15" t="s">
        <v>33</v>
      </c>
      <c r="B15" s="3">
        <v>80</v>
      </c>
      <c r="C15" s="3">
        <v>110</v>
      </c>
      <c r="D15" s="3">
        <v>140</v>
      </c>
      <c r="E15" t="s">
        <v>31</v>
      </c>
      <c r="F15" t="s">
        <v>34</v>
      </c>
    </row>
    <row r="16" spans="1:6" x14ac:dyDescent="0.25">
      <c r="A16" t="s">
        <v>35</v>
      </c>
      <c r="B16" s="4">
        <v>0.1</v>
      </c>
      <c r="C16" s="4">
        <v>0.12</v>
      </c>
      <c r="D16" s="4">
        <v>0.15</v>
      </c>
      <c r="E16" t="s">
        <v>11</v>
      </c>
      <c r="F16" t="s">
        <v>36</v>
      </c>
    </row>
    <row r="17" spans="1:6" x14ac:dyDescent="0.25">
      <c r="A17" t="s">
        <v>37</v>
      </c>
      <c r="B17" s="4">
        <v>0.4</v>
      </c>
      <c r="C17" s="4">
        <v>0.5</v>
      </c>
      <c r="D17" s="4">
        <v>0.6</v>
      </c>
      <c r="E17" t="s">
        <v>11</v>
      </c>
      <c r="F17" t="s">
        <v>38</v>
      </c>
    </row>
    <row r="18" spans="1:6" x14ac:dyDescent="0.25">
      <c r="A18" t="s">
        <v>39</v>
      </c>
      <c r="B18" s="3">
        <v>20</v>
      </c>
      <c r="C18" s="3">
        <v>30</v>
      </c>
      <c r="D18" s="3">
        <v>40</v>
      </c>
      <c r="E18" t="s">
        <v>40</v>
      </c>
      <c r="F18" t="s">
        <v>41</v>
      </c>
    </row>
    <row r="19" spans="1:6" x14ac:dyDescent="0.25">
      <c r="A19" t="s">
        <v>42</v>
      </c>
      <c r="B19" s="3">
        <v>1000</v>
      </c>
      <c r="C19" s="3">
        <v>1500</v>
      </c>
      <c r="D19" s="3">
        <v>2000</v>
      </c>
      <c r="E19" t="s">
        <v>31</v>
      </c>
      <c r="F19" t="s">
        <v>43</v>
      </c>
    </row>
    <row r="20" spans="1:6" x14ac:dyDescent="0.25">
      <c r="A20" t="s">
        <v>44</v>
      </c>
      <c r="B20" s="3">
        <v>64</v>
      </c>
      <c r="C20" s="3">
        <v>96</v>
      </c>
      <c r="D20" s="3">
        <v>128</v>
      </c>
      <c r="E20" t="s">
        <v>45</v>
      </c>
      <c r="F20" t="s">
        <v>46</v>
      </c>
    </row>
    <row r="21" spans="1:6" x14ac:dyDescent="0.25">
      <c r="A21" t="s">
        <v>47</v>
      </c>
      <c r="B21" s="3">
        <v>500</v>
      </c>
      <c r="C21" s="3">
        <v>600</v>
      </c>
      <c r="D21" s="3">
        <v>700</v>
      </c>
      <c r="E21" t="s">
        <v>31</v>
      </c>
      <c r="F21" t="s">
        <v>43</v>
      </c>
    </row>
    <row r="22" spans="1:6" x14ac:dyDescent="0.25">
      <c r="A22" t="s">
        <v>48</v>
      </c>
      <c r="B22" s="4">
        <v>0.6</v>
      </c>
      <c r="C22" s="4">
        <v>0.5</v>
      </c>
      <c r="D22" s="4">
        <v>0.45</v>
      </c>
      <c r="E22" t="s">
        <v>11</v>
      </c>
      <c r="F22" t="s">
        <v>49</v>
      </c>
    </row>
    <row r="23" spans="1:6" x14ac:dyDescent="0.25">
      <c r="A23" t="s">
        <v>50</v>
      </c>
      <c r="B23" s="3">
        <v>5000</v>
      </c>
      <c r="C23" s="3">
        <v>8000</v>
      </c>
      <c r="D23" s="3">
        <v>11000</v>
      </c>
      <c r="E23" t="s">
        <v>8</v>
      </c>
      <c r="F23" t="s">
        <v>51</v>
      </c>
    </row>
    <row r="24" spans="1:6" x14ac:dyDescent="0.25">
      <c r="A24" t="s">
        <v>52</v>
      </c>
      <c r="B24" s="3">
        <v>10</v>
      </c>
      <c r="C24" s="3">
        <v>15</v>
      </c>
      <c r="D24" s="3">
        <v>20</v>
      </c>
      <c r="E24" t="s">
        <v>31</v>
      </c>
      <c r="F24" t="s">
        <v>43</v>
      </c>
    </row>
    <row r="25" spans="1:6" x14ac:dyDescent="0.25">
      <c r="A25" t="s">
        <v>53</v>
      </c>
      <c r="B25" s="3">
        <v>60</v>
      </c>
      <c r="C25" s="3">
        <v>70</v>
      </c>
      <c r="D25" s="3">
        <v>80</v>
      </c>
      <c r="E25" t="s">
        <v>54</v>
      </c>
      <c r="F25" t="s">
        <v>55</v>
      </c>
    </row>
    <row r="26" spans="1:6" x14ac:dyDescent="0.25">
      <c r="A26" t="s">
        <v>56</v>
      </c>
      <c r="B26" s="3">
        <v>10</v>
      </c>
      <c r="C26" s="3">
        <v>12</v>
      </c>
      <c r="D26" s="3">
        <v>15</v>
      </c>
      <c r="E26" t="s">
        <v>31</v>
      </c>
      <c r="F26" t="s">
        <v>57</v>
      </c>
    </row>
    <row r="27" spans="1:6" x14ac:dyDescent="0.25">
      <c r="A27" t="s">
        <v>58</v>
      </c>
      <c r="B27" s="4">
        <v>0.3</v>
      </c>
      <c r="C27" s="4">
        <v>0.4</v>
      </c>
      <c r="D27" s="4">
        <v>0.5</v>
      </c>
      <c r="E27" t="s">
        <v>11</v>
      </c>
      <c r="F27" t="s">
        <v>59</v>
      </c>
    </row>
    <row r="28" spans="1:6" x14ac:dyDescent="0.25">
      <c r="A28" t="s">
        <v>60</v>
      </c>
      <c r="B28" s="5">
        <v>0.02</v>
      </c>
      <c r="C28" s="5">
        <v>0.03</v>
      </c>
      <c r="D28" s="5">
        <v>0.04</v>
      </c>
      <c r="E28" t="s">
        <v>61</v>
      </c>
      <c r="F28" t="s">
        <v>62</v>
      </c>
    </row>
    <row r="29" spans="1:6" x14ac:dyDescent="0.25">
      <c r="A29" t="s">
        <v>63</v>
      </c>
      <c r="B29" s="5">
        <v>1</v>
      </c>
      <c r="C29" s="5">
        <v>1.5</v>
      </c>
      <c r="D29" s="5">
        <v>2</v>
      </c>
      <c r="E29" t="s">
        <v>61</v>
      </c>
      <c r="F29" t="s">
        <v>64</v>
      </c>
    </row>
    <row r="30" spans="1:6" x14ac:dyDescent="0.25">
      <c r="A30" t="s">
        <v>65</v>
      </c>
      <c r="B30" s="3">
        <v>60</v>
      </c>
      <c r="C30" s="3">
        <v>70</v>
      </c>
      <c r="D30" s="3">
        <v>80</v>
      </c>
      <c r="E30" t="s">
        <v>31</v>
      </c>
      <c r="F30" t="s">
        <v>28</v>
      </c>
    </row>
    <row r="31" spans="1:6" x14ac:dyDescent="0.25">
      <c r="A31" t="s">
        <v>66</v>
      </c>
      <c r="B31" s="4">
        <v>0.25</v>
      </c>
      <c r="C31" s="4">
        <v>0.3</v>
      </c>
      <c r="D31" s="4">
        <v>0.35</v>
      </c>
      <c r="E31" t="s">
        <v>11</v>
      </c>
      <c r="F31" t="s">
        <v>67</v>
      </c>
    </row>
    <row r="32" spans="1:1" x14ac:dyDescent="0.25">
      <c r="A32" s="2" t="s">
        <v>68</v>
      </c>
    </row>
    <row r="33" spans="1:6" x14ac:dyDescent="0.25">
      <c r="A33" t="s">
        <v>69</v>
      </c>
      <c r="B33" s="3">
        <v>200000</v>
      </c>
      <c r="C33" s="3">
        <v>200000</v>
      </c>
      <c r="D33" s="3">
        <v>200000</v>
      </c>
      <c r="E33" t="s">
        <v>25</v>
      </c>
      <c r="F33" t="s">
        <v>70</v>
      </c>
    </row>
    <row r="34" spans="1:6" x14ac:dyDescent="0.25">
      <c r="A34" t="s">
        <v>71</v>
      </c>
      <c r="B34" s="3">
        <v>100000</v>
      </c>
      <c r="C34" s="3">
        <v>100000</v>
      </c>
      <c r="D34" s="3">
        <v>100000</v>
      </c>
      <c r="E34" t="s">
        <v>25</v>
      </c>
      <c r="F34" t="s">
        <v>72</v>
      </c>
    </row>
    <row r="35" spans="1:6" x14ac:dyDescent="0.25">
      <c r="A35" t="s">
        <v>73</v>
      </c>
      <c r="B35" s="3">
        <v>100000</v>
      </c>
      <c r="C35" s="3">
        <v>100000</v>
      </c>
      <c r="D35" s="3">
        <v>100000</v>
      </c>
      <c r="E35" t="s">
        <v>25</v>
      </c>
      <c r="F35" t="s">
        <v>74</v>
      </c>
    </row>
    <row r="36" spans="1:6" x14ac:dyDescent="0.25">
      <c r="A36" t="s">
        <v>75</v>
      </c>
      <c r="B36" s="3">
        <v>280000</v>
      </c>
      <c r="C36" s="3">
        <v>280000</v>
      </c>
      <c r="D36" s="3">
        <v>280000</v>
      </c>
      <c r="E36" t="s">
        <v>31</v>
      </c>
      <c r="F36" t="s">
        <v>76</v>
      </c>
    </row>
    <row r="37" spans="1:6" x14ac:dyDescent="0.25">
      <c r="A37" t="s">
        <v>77</v>
      </c>
      <c r="B37" s="3">
        <v>40000</v>
      </c>
      <c r="C37" s="3">
        <v>40000</v>
      </c>
      <c r="D37" s="3">
        <v>40000</v>
      </c>
      <c r="E37" t="s">
        <v>25</v>
      </c>
      <c r="F37" t="s">
        <v>78</v>
      </c>
    </row>
    <row r="38" spans="1:6" x14ac:dyDescent="0.25">
      <c r="A38" t="s">
        <v>79</v>
      </c>
      <c r="B38" s="3">
        <v>120000</v>
      </c>
      <c r="C38" s="3">
        <v>120000</v>
      </c>
      <c r="D38" s="3">
        <v>120000</v>
      </c>
      <c r="E38" t="s">
        <v>31</v>
      </c>
      <c r="F38" t="s">
        <v>43</v>
      </c>
    </row>
    <row r="39" spans="1:6" x14ac:dyDescent="0.25">
      <c r="A39" t="s">
        <v>80</v>
      </c>
      <c r="B39" s="3">
        <v>50000</v>
      </c>
      <c r="C39" s="3">
        <v>50000</v>
      </c>
      <c r="D39" s="3">
        <v>50000</v>
      </c>
      <c r="E39" t="s">
        <v>25</v>
      </c>
      <c r="F39" t="s">
        <v>43</v>
      </c>
    </row>
    <row r="40" spans="1:6" x14ac:dyDescent="0.25">
      <c r="A40" t="s">
        <v>81</v>
      </c>
      <c r="B40" s="3">
        <v>40000</v>
      </c>
      <c r="C40" s="3">
        <v>40000</v>
      </c>
      <c r="D40" s="3">
        <v>40000</v>
      </c>
      <c r="E40" t="s">
        <v>31</v>
      </c>
      <c r="F40" t="s">
        <v>82</v>
      </c>
    </row>
    <row r="41" spans="1:6" x14ac:dyDescent="0.25">
      <c r="A41" t="s">
        <v>83</v>
      </c>
      <c r="B41" s="3">
        <v>2000</v>
      </c>
      <c r="C41" s="3">
        <v>2000</v>
      </c>
      <c r="D41" s="3">
        <v>2000</v>
      </c>
      <c r="E41" t="s">
        <v>31</v>
      </c>
      <c r="F41" t="s">
        <v>43</v>
      </c>
    </row>
    <row r="42" spans="1:1" x14ac:dyDescent="0.25">
      <c r="A42" s="2" t="s">
        <v>84</v>
      </c>
    </row>
    <row r="43" spans="1:6" x14ac:dyDescent="0.25">
      <c r="A43" t="s">
        <v>85</v>
      </c>
      <c r="B43" s="4">
        <v>0.14</v>
      </c>
      <c r="C43" s="4">
        <v>0.12</v>
      </c>
      <c r="D43" s="4">
        <v>0.1</v>
      </c>
      <c r="E43" t="s">
        <v>11</v>
      </c>
      <c r="F43" t="s">
        <v>86</v>
      </c>
    </row>
    <row r="44" spans="1:6" x14ac:dyDescent="0.25">
      <c r="A44" t="s">
        <v>87</v>
      </c>
      <c r="B44" s="6">
        <v>0.7</v>
      </c>
      <c r="C44" s="6">
        <v>0.6</v>
      </c>
      <c r="D44" s="6">
        <v>0.5</v>
      </c>
      <c r="E44" t="s">
        <v>88</v>
      </c>
      <c r="F44" t="s">
        <v>89</v>
      </c>
    </row>
    <row r="46" spans="1:1" x14ac:dyDescent="0.25">
      <c r="A46" s="2" t="s">
        <v>90</v>
      </c>
    </row>
    <row r="47" spans="1:6" x14ac:dyDescent="0.25">
      <c r="A47" t="s">
        <v>91</v>
      </c>
      <c r="B47" s="7">
        <f>B35/(B3*B4*B5)</f>
        <v>1.029556508238511</v>
      </c>
      <c r="C47" s="7">
        <f>C35/(C3*C4*C5)</f>
        <v>0.49026500392310063</v>
      </c>
      <c r="D47" s="7">
        <f>D35/(D3*D4*D5)</f>
        <v>0.2933209425180943</v>
      </c>
      <c r="E47" t="s">
        <v>92</v>
      </c>
      <c r="F47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FormatPr defaultRowHeight="15" outlineLevelRow="0" outlineLevelCol="0" x14ac:dyDescent="55"/>
  <cols>
    <col min="1" max="1" width="50" customWidth="1"/>
    <col min="2" max="4" width="14" customWidth="1"/>
    <col min="5" max="5" width="3" customWidth="1"/>
    <col min="6" max="8" width="14" customWidth="1"/>
    <col min="9" max="9" width="3" customWidth="1"/>
    <col min="10" max="12" width="14" customWidth="1"/>
  </cols>
  <sheetData>
    <row r="1" spans="1:12" x14ac:dyDescent="0.25">
      <c r="A1" s="1" t="s">
        <v>94</v>
      </c>
      <c r="B1" s="1" t="s">
        <v>1</v>
      </c>
      <c r="C1" s="1" t="s">
        <v>95</v>
      </c>
      <c r="D1" s="1" t="s">
        <v>95</v>
      </c>
      <c r="E1" s="1" t="s">
        <v>95</v>
      </c>
      <c r="F1" s="1" t="s">
        <v>2</v>
      </c>
      <c r="G1" s="1" t="s">
        <v>95</v>
      </c>
      <c r="H1" s="1" t="s">
        <v>95</v>
      </c>
      <c r="I1" s="1" t="s">
        <v>95</v>
      </c>
      <c r="J1" s="1" t="s">
        <v>3</v>
      </c>
      <c r="K1" s="1" t="s">
        <v>95</v>
      </c>
      <c r="L1" s="1" t="s">
        <v>95</v>
      </c>
    </row>
    <row r="2" spans="1:12" s="8" customFormat="1" x14ac:dyDescent="0.25">
      <c r="A2" s="8" t="s">
        <v>95</v>
      </c>
      <c r="B2" s="8" t="s">
        <v>96</v>
      </c>
      <c r="C2" s="8" t="s">
        <v>97</v>
      </c>
      <c r="D2" s="8" t="s">
        <v>98</v>
      </c>
      <c r="E2" s="8" t="s">
        <v>95</v>
      </c>
      <c r="F2" s="8" t="s">
        <v>96</v>
      </c>
      <c r="G2" s="8" t="s">
        <v>97</v>
      </c>
      <c r="H2" s="8" t="s">
        <v>98</v>
      </c>
      <c r="I2" s="8" t="s">
        <v>95</v>
      </c>
      <c r="J2" s="8" t="s">
        <v>96</v>
      </c>
      <c r="K2" s="8" t="s">
        <v>97</v>
      </c>
      <c r="L2" s="8" t="s">
        <v>98</v>
      </c>
    </row>
    <row r="3" spans="1:12" x14ac:dyDescent="0.25">
      <c r="A3" t="s">
        <v>99</v>
      </c>
      <c r="B3" s="9">
        <f>Supuestos!$B$3*Supuestos!$B$4</f>
        <v>388516.80000000005</v>
      </c>
      <c r="C3" s="9">
        <f>Supuestos!$B$3*Supuestos!$B$4</f>
        <v>388516.80000000005</v>
      </c>
      <c r="D3" s="9">
        <f>Supuestos!$B$3*Supuestos!$B$4</f>
        <v>388516.80000000005</v>
      </c>
      <c r="F3" s="9">
        <f>Supuestos!$C$3*Supuestos!$C$4</f>
        <v>582775.2</v>
      </c>
      <c r="G3" s="9">
        <f>Supuestos!$C$3*Supuestos!$C$4</f>
        <v>582775.2</v>
      </c>
      <c r="H3" s="9">
        <f>Supuestos!$C$3*Supuestos!$C$4</f>
        <v>582775.2</v>
      </c>
      <c r="J3" s="9">
        <f>Supuestos!$D$3*Supuestos!$D$4</f>
        <v>757607.76</v>
      </c>
      <c r="K3" s="9">
        <f>Supuestos!$D$3*Supuestos!$D$4</f>
        <v>757607.76</v>
      </c>
      <c r="L3" s="9">
        <f>Supuestos!$D$3*Supuestos!$D$4</f>
        <v>757607.76</v>
      </c>
    </row>
    <row r="4" spans="1:12" x14ac:dyDescent="0.25">
      <c r="A4" t="s">
        <v>100</v>
      </c>
      <c r="B4" s="9">
        <f>MIN(B3*Supuestos!$B$5*1*(1+Supuestos!$B$6)^0,B3*0.9)</f>
        <v>97129.20000000001</v>
      </c>
      <c r="C4" s="9">
        <f>MIN(C3*Supuestos!$B$5*1*(1+Supuestos!$B$6)^1,C3*0.9)</f>
        <v>111698.58</v>
      </c>
      <c r="D4" s="9">
        <f>MIN(D3*Supuestos!$B$5*1*(1+Supuestos!$B$6)^2,D3*0.9)</f>
        <v>128453.367</v>
      </c>
      <c r="F4" s="9">
        <f>MIN(F3*Supuestos!$C$5*1*(1+Supuestos!$C$6)^0,F3*0.9)</f>
        <v>203971.31999999998</v>
      </c>
      <c r="G4" s="9">
        <f>MIN(G3*Supuestos!$C$5*1*(1+Supuestos!$C$6)^1,G3*0.9)</f>
        <v>254964.14999999997</v>
      </c>
      <c r="H4" s="9">
        <f>MIN(H3*Supuestos!$C$5*1*(1+Supuestos!$C$6)^2,H3*0.9)</f>
        <v>318705.18749999994</v>
      </c>
      <c r="J4" s="9">
        <f>MIN(J3*Supuestos!$D$5*1*(1+Supuestos!$D$6)^0,J3*0.9)</f>
        <v>340923.492</v>
      </c>
      <c r="K4" s="9">
        <f>MIN(K3*Supuestos!$D$5*1*(1+Supuestos!$D$6)^1,K3*0.9)</f>
        <v>460246.71420000005</v>
      </c>
      <c r="L4" s="9">
        <f>MIN(L3*Supuestos!$D$5*1*(1+Supuestos!$D$6)^2,L3*0.9)</f>
        <v>621333.0641700001</v>
      </c>
    </row>
    <row r="5" spans="1:12" x14ac:dyDescent="0.25">
      <c r="A5" t="s">
        <v>101</v>
      </c>
      <c r="B5" s="9">
        <f>B4*Supuestos!$B$8</f>
        <v>5827.752</v>
      </c>
      <c r="C5" s="9">
        <f>C4*Supuestos!$B$8</f>
        <v>6701.9148</v>
      </c>
      <c r="D5" s="9">
        <f>D4*Supuestos!$B$8</f>
        <v>7707.20202</v>
      </c>
      <c r="F5" s="9">
        <f>F4*Supuestos!$C$8</f>
        <v>18357.418799999996</v>
      </c>
      <c r="G5" s="9">
        <f>G4*Supuestos!$C$8</f>
        <v>22946.773499999996</v>
      </c>
      <c r="H5" s="9">
        <f>H4*Supuestos!$C$8</f>
        <v>28683.466874999995</v>
      </c>
      <c r="J5" s="9">
        <f>J4*Supuestos!$D$8</f>
        <v>40910.81904</v>
      </c>
      <c r="K5" s="9">
        <f>K4*Supuestos!$D$8</f>
        <v>55229.605704</v>
      </c>
      <c r="L5" s="9">
        <f>L4*Supuestos!$D$8</f>
        <v>74559.96770040001</v>
      </c>
    </row>
    <row r="6" spans="1:12" x14ac:dyDescent="0.25">
      <c r="A6" t="s">
        <v>102</v>
      </c>
      <c r="B6" s="9">
        <f>B5</f>
        <v>5827.752</v>
      </c>
      <c r="C6" s="9">
        <f>C5+B6*Supuestos!$B$9</f>
        <v>9615.790799999999</v>
      </c>
      <c r="D6" s="9">
        <f>D5+C6*Supuestos!$B$9</f>
        <v>12515.097419999998</v>
      </c>
      <c r="F6" s="9">
        <f>F5</f>
        <v>18357.418799999996</v>
      </c>
      <c r="G6" s="9">
        <f>G5+F6*Supuestos!$C$9</f>
        <v>33961.22477999999</v>
      </c>
      <c r="H6" s="9">
        <f>H5+G6*Supuestos!$C$9</f>
        <v>49060.20174299998</v>
      </c>
      <c r="J6" s="9">
        <f>J5</f>
        <v>40910.81904</v>
      </c>
      <c r="K6" s="9">
        <f>K5+J6*Supuestos!$D$9</f>
        <v>83867.179032</v>
      </c>
      <c r="L6" s="9">
        <f>L5+K6*Supuestos!$D$9</f>
        <v>133266.99302280002</v>
      </c>
    </row>
    <row r="7" spans="1:12" x14ac:dyDescent="0.25">
      <c r="A7" t="s">
        <v>103</v>
      </c>
      <c r="B7" s="9">
        <f>B6*Supuestos!$B$10</f>
        <v>145.6938</v>
      </c>
      <c r="C7" s="9">
        <f>C6*Supuestos!$B$10</f>
        <v>240.39477</v>
      </c>
      <c r="D7" s="9">
        <f>D6*Supuestos!$B$10</f>
        <v>312.8774355</v>
      </c>
      <c r="F7" s="9">
        <f>F6*Supuestos!$C$10</f>
        <v>734.2967519999999</v>
      </c>
      <c r="G7" s="9">
        <f>G6*Supuestos!$C$10</f>
        <v>1358.4489911999997</v>
      </c>
      <c r="H7" s="9">
        <f>H6*Supuestos!$C$10</f>
        <v>1962.4080697199993</v>
      </c>
      <c r="J7" s="9">
        <f>J6*Supuestos!$D$10</f>
        <v>2454.6491424</v>
      </c>
      <c r="K7" s="9">
        <f>K6*Supuestos!$D$10</f>
        <v>5032.03074192</v>
      </c>
      <c r="L7" s="9">
        <f>L6*Supuestos!$D$10</f>
        <v>7996.019581368</v>
      </c>
    </row>
    <row r="8" spans="1:12" x14ac:dyDescent="0.25">
      <c r="A8" t="s">
        <v>104</v>
      </c>
      <c r="B8" s="9">
        <f>B7*Supuestos!$B$11</f>
        <v>8013.159000000001</v>
      </c>
      <c r="C8" s="9">
        <f>C7*Supuestos!$B$11</f>
        <v>13221.71235</v>
      </c>
      <c r="D8" s="9">
        <f>D7*Supuestos!$B$11</f>
        <v>17208.2589525</v>
      </c>
      <c r="F8" s="9">
        <f>F7*Supuestos!$C$11</f>
        <v>45526.398623999994</v>
      </c>
      <c r="G8" s="9">
        <f>G7*Supuestos!$C$11</f>
        <v>84223.83745439998</v>
      </c>
      <c r="H8" s="9">
        <f>H7*Supuestos!$C$11</f>
        <v>121669.30032263996</v>
      </c>
      <c r="J8" s="9">
        <f>J7*Supuestos!$D$11</f>
        <v>169370.7908256</v>
      </c>
      <c r="K8" s="9">
        <f>K7*Supuestos!$D$11</f>
        <v>347210.12119248</v>
      </c>
      <c r="L8" s="9">
        <f>L7*Supuestos!$D$11</f>
        <v>551725.351114392</v>
      </c>
    </row>
    <row r="9" spans="1:12" x14ac:dyDescent="0.25">
      <c r="A9" t="s">
        <v>105</v>
      </c>
      <c r="B9" s="9">
        <f>(B6*Supuestos!$B$14+B7*Supuestos!$B$15)*Supuestos!$B$16*Supuestos!$B$17</f>
        <v>2797.3209600000005</v>
      </c>
      <c r="C9" s="9">
        <f>(C6*Supuestos!$B$14+C7*Supuestos!$B$15)*Supuestos!$B$16*Supuestos!$B$17</f>
        <v>4615.579584000001</v>
      </c>
      <c r="D9" s="9">
        <f>(D6*Supuestos!$B$14+D7*Supuestos!$B$15)*Supuestos!$B$16*Supuestos!$B$17</f>
        <v>6007.246761599999</v>
      </c>
      <c r="F9" s="9">
        <f>(F6*Supuestos!$C$14+F7*Supuestos!$C$15)*Supuestos!$C$16*Supuestos!$C$17</f>
        <v>21368.035483199998</v>
      </c>
      <c r="G9" s="9">
        <f>(G6*Supuestos!$C$14+G7*Supuestos!$C$15)*Supuestos!$C$16*Supuestos!$C$17</f>
        <v>39530.865643919984</v>
      </c>
      <c r="H9" s="9">
        <f>(H6*Supuestos!$C$14+H7*Supuestos!$C$15)*Supuestos!$C$16*Supuestos!$C$17</f>
        <v>57106.07482885198</v>
      </c>
      <c r="J9" s="9">
        <f>(J6*Supuestos!$D$14+J7*Supuestos!$D$15)*Supuestos!$D$16*Supuestos!$D$17</f>
        <v>104568.05346624</v>
      </c>
      <c r="K9" s="9">
        <f>(K6*Supuestos!$D$14+K7*Supuestos!$D$15)*Supuestos!$D$16*Supuestos!$D$17</f>
        <v>214364.50960579197</v>
      </c>
      <c r="L9" s="9">
        <f>(L6*Supuestos!$D$14+L7*Supuestos!$D$15)*Supuestos!$D$16*Supuestos!$D$17</f>
        <v>340630.43416627677</v>
      </c>
    </row>
    <row r="10" spans="1:12" x14ac:dyDescent="0.25">
      <c r="A10" t="s">
        <v>106</v>
      </c>
      <c r="B10" s="9">
        <f>Supuestos!$B$18*Supuestos!$B$19</f>
        <v>20000</v>
      </c>
      <c r="C10" s="9">
        <f>Supuestos!$B$18*Supuestos!$B$19</f>
        <v>20000</v>
      </c>
      <c r="D10" s="9">
        <f>Supuestos!$B$18*Supuestos!$B$19</f>
        <v>20000</v>
      </c>
      <c r="F10" s="9">
        <f>Supuestos!$C$18*Supuestos!$C$19</f>
        <v>45000</v>
      </c>
      <c r="G10" s="9">
        <f>Supuestos!$C$18*Supuestos!$C$19</f>
        <v>45000</v>
      </c>
      <c r="H10" s="9">
        <f>Supuestos!$C$18*Supuestos!$C$19</f>
        <v>45000</v>
      </c>
      <c r="J10" s="9">
        <f>Supuestos!$D$18*Supuestos!$D$19</f>
        <v>80000</v>
      </c>
      <c r="K10" s="9">
        <f>Supuestos!$D$18*Supuestos!$D$19</f>
        <v>80000</v>
      </c>
      <c r="L10" s="9">
        <f>Supuestos!$D$18*Supuestos!$D$19</f>
        <v>80000</v>
      </c>
    </row>
    <row r="11" spans="1:12" x14ac:dyDescent="0.25">
      <c r="A11" t="s">
        <v>107</v>
      </c>
      <c r="B11" s="9">
        <f>Supuestos!$B$20*2*Supuestos!$B$21*(1-Supuestos!$B$22)</f>
        <v>25600</v>
      </c>
      <c r="C11" s="9">
        <f>Supuestos!$B$20*2*Supuestos!$B$21*(1-Supuestos!$B$22)</f>
        <v>25600</v>
      </c>
      <c r="D11" s="9">
        <f>Supuestos!$B$20*2*Supuestos!$B$21*(1-Supuestos!$B$22)</f>
        <v>25600</v>
      </c>
      <c r="F11" s="9">
        <f>Supuestos!$C$20*2*Supuestos!$C$21*(1-Supuestos!$C$22)</f>
        <v>57600</v>
      </c>
      <c r="G11" s="9">
        <f>Supuestos!$C$20*2*Supuestos!$C$21*(1-Supuestos!$C$22)</f>
        <v>57600</v>
      </c>
      <c r="H11" s="9">
        <f>Supuestos!$C$20*2*Supuestos!$C$21*(1-Supuestos!$C$22)</f>
        <v>57600</v>
      </c>
      <c r="J11" s="9">
        <f>Supuestos!$D$20*2*Supuestos!$D$21*(1-Supuestos!$D$22)</f>
        <v>98560.00000000001</v>
      </c>
      <c r="K11" s="9">
        <f>Supuestos!$D$20*2*Supuestos!$D$21*(1-Supuestos!$D$22)</f>
        <v>98560.00000000001</v>
      </c>
      <c r="L11" s="9">
        <f>Supuestos!$D$20*2*Supuestos!$D$21*(1-Supuestos!$D$22)</f>
        <v>98560.00000000001</v>
      </c>
    </row>
    <row r="12" spans="1:12" x14ac:dyDescent="0.25">
      <c r="A12" t="s">
        <v>108</v>
      </c>
      <c r="B12" s="9">
        <f>Supuestos!$B$23*Supuestos!$B$24</f>
        <v>50000</v>
      </c>
      <c r="C12" s="9">
        <f>0</f>
        <v>0</v>
      </c>
      <c r="D12" s="9">
        <f>0</f>
        <v>0</v>
      </c>
      <c r="F12" s="9">
        <f>Supuestos!$C$23*Supuestos!$C$24</f>
        <v>120000</v>
      </c>
      <c r="G12" s="9">
        <f>0</f>
        <v>0</v>
      </c>
      <c r="H12" s="9">
        <f>0</f>
        <v>0</v>
      </c>
      <c r="J12" s="9">
        <f>Supuestos!$D$23*Supuestos!$D$24</f>
        <v>220000</v>
      </c>
      <c r="K12" s="9">
        <f>0</f>
        <v>0</v>
      </c>
      <c r="L12" s="9">
        <f>0</f>
        <v>0</v>
      </c>
    </row>
    <row r="13" spans="1:12" x14ac:dyDescent="0.25">
      <c r="A13" t="s">
        <v>109</v>
      </c>
      <c r="B13" s="9">
        <f>B4*Supuestos!$B$25/1000*Supuestos!$B$26*Supuestos!$B$27</f>
        <v>17483.256</v>
      </c>
      <c r="C13" s="9">
        <f>C4*Supuestos!$B$25/1000*Supuestos!$B$26*Supuestos!$B$27</f>
        <v>20105.7444</v>
      </c>
      <c r="D13" s="9">
        <f>D4*Supuestos!$B$25/1000*Supuestos!$B$26*Supuestos!$B$27</f>
        <v>23121.60606</v>
      </c>
      <c r="F13" s="9">
        <f>F4*Supuestos!$C$25/1000*Supuestos!$C$26*Supuestos!$C$27</f>
        <v>68534.36352</v>
      </c>
      <c r="G13" s="9">
        <f>G4*Supuestos!$C$25/1000*Supuestos!$C$26*Supuestos!$C$27</f>
        <v>85667.95439999999</v>
      </c>
      <c r="H13" s="9">
        <f>H4*Supuestos!$C$25/1000*Supuestos!$C$26*Supuestos!$C$27</f>
        <v>107084.94299999997</v>
      </c>
      <c r="J13" s="9">
        <f>J4*Supuestos!$D$25/1000*Supuestos!$D$26*Supuestos!$D$27</f>
        <v>204554.0952</v>
      </c>
      <c r="K13" s="9">
        <f>K4*Supuestos!$D$25/1000*Supuestos!$D$26*Supuestos!$D$27</f>
        <v>276148.02852000005</v>
      </c>
      <c r="L13" s="9">
        <f>L4*Supuestos!$D$25/1000*Supuestos!$D$26*Supuestos!$D$27</f>
        <v>372799.8385020001</v>
      </c>
    </row>
    <row r="14" spans="1:12" x14ac:dyDescent="0.25">
      <c r="A14" t="s">
        <v>110</v>
      </c>
      <c r="B14" s="9">
        <f>(B6*Supuestos!$B$28+B7*Supuestos!$B$29)*Supuestos!$B$30*Supuestos!$B$31*Supuestos!$B$17</f>
        <v>1573.4930400000003</v>
      </c>
      <c r="C14" s="9">
        <f>(C6*Supuestos!$B$28+C7*Supuestos!$B$29)*Supuestos!$B$30*Supuestos!$B$31*Supuestos!$B$17</f>
        <v>2596.263516</v>
      </c>
      <c r="D14" s="9">
        <f>(D6*Supuestos!$B$28+D7*Supuestos!$B$29)*Supuestos!$B$30*Supuestos!$B$31*Supuestos!$B$17</f>
        <v>3379.0763033999997</v>
      </c>
      <c r="F14" s="9">
        <f>(F6*Supuestos!$C$28+F7*Supuestos!$C$29)*Supuestos!$C$30*Supuestos!$C$31*Supuestos!$C$17</f>
        <v>17347.760765999996</v>
      </c>
      <c r="G14" s="9">
        <f>(G6*Supuestos!$C$28+G7*Supuestos!$C$29)*Supuestos!$C$30*Supuestos!$C$31*Supuestos!$C$17</f>
        <v>32093.357417099993</v>
      </c>
      <c r="H14" s="9">
        <f>(H6*Supuestos!$C$28+H7*Supuestos!$C$29)*Supuestos!$C$30*Supuestos!$C$31*Supuestos!$C$17</f>
        <v>46361.890647134984</v>
      </c>
      <c r="J14" s="9">
        <f>(J6*Supuestos!$D$28+J7*Supuestos!$D$29)*Supuestos!$D$30*Supuestos!$D$31*Supuestos!$D$17</f>
        <v>109968.28157951999</v>
      </c>
      <c r="K14" s="9">
        <f>(K6*Supuestos!$D$28+K7*Supuestos!$D$29)*Supuestos!$D$30*Supuestos!$D$31*Supuestos!$D$17</f>
        <v>225434.97723801597</v>
      </c>
      <c r="L14" s="9">
        <f>(L6*Supuestos!$D$28+L7*Supuestos!$D$29)*Supuestos!$D$30*Supuestos!$D$31*Supuestos!$D$17</f>
        <v>358221.67724528635</v>
      </c>
    </row>
    <row r="15" spans="1:12" s="8" customFormat="1" x14ac:dyDescent="0.25">
      <c r="A15" s="8" t="s">
        <v>111</v>
      </c>
      <c r="B15" s="10">
        <f>B8+B9+B10+B11+B12+B13+B14</f>
        <v>125467.22899999999</v>
      </c>
      <c r="C15" s="10">
        <f>C8+C9+C10+C11+C12+C13+C14</f>
        <v>86139.29985000001</v>
      </c>
      <c r="D15" s="10">
        <f>D8+D9+D10+D11+D12+D13+D14</f>
        <v>95316.18807749999</v>
      </c>
      <c r="F15" s="10">
        <f>F8+F9+F10+F11+F12+F13+F14</f>
        <v>375376.55839320004</v>
      </c>
      <c r="G15" s="10">
        <f>G8+G9+G10+G11+G12+G13+G14</f>
        <v>344116.01491542</v>
      </c>
      <c r="H15" s="10">
        <f>H8+H9+H10+H11+H12+H13+H14</f>
        <v>434822.2087986269</v>
      </c>
      <c r="J15" s="10">
        <f>J8+J9+J10+J11+J12+J13+J14</f>
        <v>987021.2210713599</v>
      </c>
      <c r="K15" s="10">
        <f>K8+K9+K10+K11+K12+K13+K14</f>
        <v>1241717.636556288</v>
      </c>
      <c r="L15" s="10">
        <f>L8+L9+L10+L11+L12+L13+L14</f>
        <v>1801937.3010279553</v>
      </c>
    </row>
    <row r="16" spans="1:12" x14ac:dyDescent="0.25">
      <c r="A16" t="s">
        <v>112</v>
      </c>
      <c r="B16" s="9">
        <f>-Supuestos!$B$33*1</f>
        <v>-200000</v>
      </c>
      <c r="C16" s="9">
        <f>-Supuestos!$B$33*1</f>
        <v>-200000</v>
      </c>
      <c r="D16" s="9">
        <f>-Supuestos!$B$33*1</f>
        <v>-200000</v>
      </c>
      <c r="F16" s="9">
        <f>-Supuestos!$C$33*1</f>
        <v>-200000</v>
      </c>
      <c r="G16" s="9">
        <f>-Supuestos!$C$33*1</f>
        <v>-200000</v>
      </c>
      <c r="H16" s="9">
        <f>-Supuestos!$C$33*1</f>
        <v>-200000</v>
      </c>
      <c r="J16" s="9">
        <f>-Supuestos!$D$33*1</f>
        <v>-200000</v>
      </c>
      <c r="K16" s="9">
        <f>-Supuestos!$D$33*1</f>
        <v>-200000</v>
      </c>
      <c r="L16" s="9">
        <f>-Supuestos!$D$33*1</f>
        <v>-200000</v>
      </c>
    </row>
    <row r="17" spans="1:12" x14ac:dyDescent="0.25">
      <c r="A17" t="s">
        <v>113</v>
      </c>
      <c r="B17" s="9">
        <f>-Supuestos!$B$34*1</f>
        <v>-100000</v>
      </c>
      <c r="C17" s="9">
        <f>-Supuestos!$B$34*1</f>
        <v>-100000</v>
      </c>
      <c r="D17" s="9">
        <f>-Supuestos!$B$34*1</f>
        <v>-100000</v>
      </c>
      <c r="F17" s="9">
        <f>-Supuestos!$C$34*1</f>
        <v>-100000</v>
      </c>
      <c r="G17" s="9">
        <f>-Supuestos!$C$34*1</f>
        <v>-100000</v>
      </c>
      <c r="H17" s="9">
        <f>-Supuestos!$C$34*1</f>
        <v>-100000</v>
      </c>
      <c r="J17" s="9">
        <f>-Supuestos!$D$34*1</f>
        <v>-100000</v>
      </c>
      <c r="K17" s="9">
        <f>-Supuestos!$D$34*1</f>
        <v>-100000</v>
      </c>
      <c r="L17" s="9">
        <f>-Supuestos!$D$34*1</f>
        <v>-100000</v>
      </c>
    </row>
    <row r="18" spans="1:12" x14ac:dyDescent="0.25">
      <c r="A18" t="s">
        <v>114</v>
      </c>
      <c r="B18" s="9">
        <f>-Supuestos!$B$35*1</f>
        <v>-100000</v>
      </c>
      <c r="C18" s="9">
        <f>-Supuestos!$B$35*1</f>
        <v>-100000</v>
      </c>
      <c r="D18" s="9">
        <f>-Supuestos!$B$35*1</f>
        <v>-100000</v>
      </c>
      <c r="F18" s="9">
        <f>-Supuestos!$C$35*1</f>
        <v>-100000</v>
      </c>
      <c r="G18" s="9">
        <f>-Supuestos!$C$35*1</f>
        <v>-100000</v>
      </c>
      <c r="H18" s="9">
        <f>-Supuestos!$C$35*1</f>
        <v>-100000</v>
      </c>
      <c r="J18" s="9">
        <f>-Supuestos!$D$35*1</f>
        <v>-100000</v>
      </c>
      <c r="K18" s="9">
        <f>-Supuestos!$D$35*1</f>
        <v>-100000</v>
      </c>
      <c r="L18" s="9">
        <f>-Supuestos!$D$35*1</f>
        <v>-100000</v>
      </c>
    </row>
    <row r="19" spans="1:12" x14ac:dyDescent="0.25">
      <c r="A19" t="s">
        <v>115</v>
      </c>
      <c r="B19" s="9">
        <f>-Supuestos!$B$36*1</f>
        <v>-280000</v>
      </c>
      <c r="C19" s="9">
        <f>-Supuestos!$B$37*1</f>
        <v>-40000</v>
      </c>
      <c r="D19" s="9">
        <f>-Supuestos!$B$37*1</f>
        <v>-40000</v>
      </c>
      <c r="F19" s="9">
        <f>-Supuestos!$C$36*1</f>
        <v>-280000</v>
      </c>
      <c r="G19" s="9">
        <f>-Supuestos!$C$37*1</f>
        <v>-40000</v>
      </c>
      <c r="H19" s="9">
        <f>-Supuestos!$C$37*1</f>
        <v>-40000</v>
      </c>
      <c r="J19" s="9">
        <f>-Supuestos!$D$36*1</f>
        <v>-280000</v>
      </c>
      <c r="K19" s="9">
        <f>-Supuestos!$D$37*1</f>
        <v>-40000</v>
      </c>
      <c r="L19" s="9">
        <f>-Supuestos!$D$37*1</f>
        <v>-40000</v>
      </c>
    </row>
    <row r="20" spans="1:12" x14ac:dyDescent="0.25">
      <c r="A20" t="s">
        <v>116</v>
      </c>
      <c r="B20" s="9">
        <f>-Supuestos!$B$38*1</f>
        <v>-120000</v>
      </c>
      <c r="C20" s="9">
        <f>-Supuestos!$B$39*1</f>
        <v>-50000</v>
      </c>
      <c r="D20" s="9">
        <f>-Supuestos!$B$39*1</f>
        <v>-50000</v>
      </c>
      <c r="F20" s="9">
        <f>-Supuestos!$C$38*1</f>
        <v>-120000</v>
      </c>
      <c r="G20" s="9">
        <f>-Supuestos!$C$39*1</f>
        <v>-50000</v>
      </c>
      <c r="H20" s="9">
        <f>-Supuestos!$C$39*1</f>
        <v>-50000</v>
      </c>
      <c r="J20" s="9">
        <f>-Supuestos!$D$38*1</f>
        <v>-120000</v>
      </c>
      <c r="K20" s="9">
        <f>-Supuestos!$D$39*1</f>
        <v>-50000</v>
      </c>
      <c r="L20" s="9">
        <f>-Supuestos!$D$39*1</f>
        <v>-50000</v>
      </c>
    </row>
    <row r="21" spans="1:12" x14ac:dyDescent="0.25">
      <c r="A21" t="s">
        <v>117</v>
      </c>
      <c r="B21" s="9">
        <f>-B7*Supuestos!$B$12</f>
        <v>-2913.876</v>
      </c>
      <c r="C21" s="9">
        <f>-C7*Supuestos!$B$12</f>
        <v>-4807.895399999999</v>
      </c>
      <c r="D21" s="9">
        <f>-D7*Supuestos!$B$12</f>
        <v>-6257.54871</v>
      </c>
      <c r="F21" s="9">
        <f>-F7*Supuestos!$C$12</f>
        <v>-13217.341535999998</v>
      </c>
      <c r="G21" s="9">
        <f>-G7*Supuestos!$C$12</f>
        <v>-24452.081841599993</v>
      </c>
      <c r="H21" s="9">
        <f>-H7*Supuestos!$C$12</f>
        <v>-35323.34525495999</v>
      </c>
      <c r="J21" s="9">
        <f>-J7*Supuestos!$D$12</f>
        <v>-39274.3862784</v>
      </c>
      <c r="K21" s="9">
        <f>-K7*Supuestos!$D$12</f>
        <v>-80512.49187072</v>
      </c>
      <c r="L21" s="9">
        <f>-L7*Supuestos!$D$12</f>
        <v>-127936.313301888</v>
      </c>
    </row>
    <row r="22" spans="1:12" x14ac:dyDescent="0.25">
      <c r="A22" t="s">
        <v>118</v>
      </c>
      <c r="B22" s="9">
        <f>-Supuestos!$B$18*Supuestos!$B$41</f>
        <v>-40000</v>
      </c>
      <c r="C22" s="9">
        <f>0</f>
        <v>0</v>
      </c>
      <c r="D22" s="9">
        <f>0</f>
        <v>0</v>
      </c>
      <c r="F22" s="9">
        <f>-Supuestos!$C$18*Supuestos!$C$41</f>
        <v>-60000</v>
      </c>
      <c r="G22" s="9">
        <f>0</f>
        <v>0</v>
      </c>
      <c r="H22" s="9">
        <f>0</f>
        <v>0</v>
      </c>
      <c r="J22" s="9">
        <f>-Supuestos!$D$18*Supuestos!$D$41</f>
        <v>-80000</v>
      </c>
      <c r="K22" s="9">
        <f>0</f>
        <v>0</v>
      </c>
      <c r="L22" s="9">
        <f>0</f>
        <v>0</v>
      </c>
    </row>
    <row r="23" spans="1:12" x14ac:dyDescent="0.25">
      <c r="A23" t="s">
        <v>119</v>
      </c>
      <c r="B23" s="9">
        <f>-Supuestos!$B$40</f>
        <v>-40000</v>
      </c>
      <c r="C23" s="9">
        <f>0</f>
        <v>0</v>
      </c>
      <c r="D23" s="9">
        <f>0</f>
        <v>0</v>
      </c>
      <c r="F23" s="9">
        <f>-Supuestos!$C$40</f>
        <v>-40000</v>
      </c>
      <c r="G23" s="9">
        <f>0</f>
        <v>0</v>
      </c>
      <c r="H23" s="9">
        <f>0</f>
        <v>0</v>
      </c>
      <c r="J23" s="9">
        <f>-Supuestos!$D$40</f>
        <v>-40000</v>
      </c>
      <c r="K23" s="9">
        <f>0</f>
        <v>0</v>
      </c>
      <c r="L23" s="9">
        <f>0</f>
        <v>0</v>
      </c>
    </row>
    <row r="24" spans="1:12" s="8" customFormat="1" x14ac:dyDescent="0.25">
      <c r="A24" s="8" t="s">
        <v>120</v>
      </c>
      <c r="B24" s="10">
        <f>-(B16+B17+B18+B19+B20+B21+B22+B23)</f>
        <v>882913.876</v>
      </c>
      <c r="C24" s="10">
        <f>-(C16+C17+C18+C19+C20+C21+C22+C23)</f>
        <v>494807.8954</v>
      </c>
      <c r="D24" s="10">
        <f>-(D16+D17+D18+D19+D20+D21+D22+D23)</f>
        <v>496257.54871</v>
      </c>
      <c r="F24" s="10">
        <f>-(F16+F17+F18+F19+F20+F21+F22+F23)</f>
        <v>913217.341536</v>
      </c>
      <c r="G24" s="10">
        <f>-(G16+G17+G18+G19+G20+G21+G22+G23)</f>
        <v>514452.0818416</v>
      </c>
      <c r="H24" s="10">
        <f>-(H16+H17+H18+H19+H20+H21+H22+H23)</f>
        <v>525323.34525496</v>
      </c>
      <c r="J24" s="10">
        <f>-(J16+J17+J18+J19+J20+J21+J22+J23)</f>
        <v>959274.3862784</v>
      </c>
      <c r="K24" s="10">
        <f>-(K16+K17+K18+K19+K20+K21+K22+K23)</f>
        <v>570512.4918707199</v>
      </c>
      <c r="L24" s="10">
        <f>-(L16+L17+L18+L19+L20+L21+L22+L23)</f>
        <v>617936.3133018881</v>
      </c>
    </row>
    <row r="25" spans="1:12" s="8" customFormat="1" x14ac:dyDescent="0.25">
      <c r="A25" s="8" t="s">
        <v>121</v>
      </c>
      <c r="B25" s="10">
        <f>B15-B24</f>
        <v>-757446.6470000001</v>
      </c>
      <c r="C25" s="10">
        <f>C15-C24</f>
        <v>-408668.59554999997</v>
      </c>
      <c r="D25" s="10">
        <f>D15-D24</f>
        <v>-400941.36063250003</v>
      </c>
      <c r="F25" s="10">
        <f>F15-F24</f>
        <v>-537840.7831428</v>
      </c>
      <c r="G25" s="10">
        <f>G15-G24</f>
        <v>-170336.06692618004</v>
      </c>
      <c r="H25" s="10">
        <f>H15-H24</f>
        <v>-90501.1364563331</v>
      </c>
      <c r="J25" s="10">
        <f>J15-J24</f>
        <v>27746.83479295997</v>
      </c>
      <c r="K25" s="10">
        <f>K15-K24</f>
        <v>671205.144685568</v>
      </c>
      <c r="L25" s="10">
        <f>L15-L24</f>
        <v>1184000.9877260672</v>
      </c>
    </row>
    <row r="26" spans="1:12" x14ac:dyDescent="0.25">
      <c r="A26" t="s">
        <v>122</v>
      </c>
      <c r="B26" s="9">
        <f>B25</f>
        <v>-757446.6470000001</v>
      </c>
      <c r="C26" s="9">
        <f>C25+B26</f>
        <v>-1166115.24255</v>
      </c>
      <c r="D26" s="9">
        <f>D25+C26</f>
        <v>-1567056.6031825002</v>
      </c>
      <c r="F26" s="9">
        <f>F25</f>
        <v>-537840.7831428</v>
      </c>
      <c r="G26" s="9">
        <f>G25+F26</f>
        <v>-708176.85006898</v>
      </c>
      <c r="H26" s="9">
        <f>H25+G26</f>
        <v>-798677.9865253131</v>
      </c>
      <c r="J26" s="9">
        <f>J25</f>
        <v>27746.83479295997</v>
      </c>
      <c r="K26" s="9">
        <f>K25+J26</f>
        <v>698951.979478528</v>
      </c>
      <c r="L26" s="9">
        <f>L25+K26</f>
        <v>1882952.9672045952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FormatPr defaultRowHeight="15" outlineLevelRow="0" outlineLevelCol="0" x14ac:dyDescent="55"/>
  <cols>
    <col min="1" max="1" width="50" customWidth="1"/>
    <col min="2" max="6" width="14" customWidth="1"/>
    <col min="7" max="7" width="3" customWidth="1"/>
    <col min="8" max="8" width="16" customWidth="1"/>
  </cols>
  <sheetData>
    <row r="1" spans="1:1" x14ac:dyDescent="0.25">
      <c r="A1" s="1" t="s">
        <v>123</v>
      </c>
    </row>
    <row r="2" spans="1:5" s="8" customFormat="1" x14ac:dyDescent="0.25">
      <c r="A2" s="8" t="s">
        <v>124</v>
      </c>
      <c r="B2" s="8" t="s">
        <v>125</v>
      </c>
      <c r="C2" s="8" t="s">
        <v>126</v>
      </c>
      <c r="D2" s="8" t="s">
        <v>127</v>
      </c>
      <c r="E2" s="8" t="s">
        <v>128</v>
      </c>
    </row>
    <row r="3" spans="1:5" x14ac:dyDescent="0.25">
      <c r="A3" t="s">
        <v>129</v>
      </c>
      <c r="B3" s="9">
        <v>1942584</v>
      </c>
      <c r="C3" s="7">
        <v>1</v>
      </c>
      <c r="D3">
        <v>1</v>
      </c>
      <c r="E3">
        <v>2027</v>
      </c>
    </row>
    <row r="4" spans="1:5" x14ac:dyDescent="0.25">
      <c r="A4" t="s">
        <v>130</v>
      </c>
      <c r="B4" s="9">
        <v>6474652</v>
      </c>
      <c r="C4" s="7">
        <v>0.5</v>
      </c>
      <c r="D4">
        <v>1</v>
      </c>
      <c r="E4">
        <v>2028</v>
      </c>
    </row>
    <row r="5" spans="1:5" x14ac:dyDescent="0.25">
      <c r="A5" t="s">
        <v>131</v>
      </c>
      <c r="B5" s="9">
        <v>1838097</v>
      </c>
      <c r="C5" s="7">
        <v>1</v>
      </c>
      <c r="D5" t="s">
        <v>132</v>
      </c>
      <c r="E5">
        <v>2029</v>
      </c>
    </row>
    <row r="6" spans="1:5" x14ac:dyDescent="0.25">
      <c r="A6" t="s">
        <v>133</v>
      </c>
      <c r="B6" s="9">
        <v>1800167</v>
      </c>
      <c r="C6" s="7">
        <v>1</v>
      </c>
      <c r="D6" t="s">
        <v>132</v>
      </c>
      <c r="E6">
        <v>2030</v>
      </c>
    </row>
    <row r="8" spans="1:6" x14ac:dyDescent="0.25">
      <c r="A8" s="1" t="s">
        <v>134</v>
      </c>
      <c r="B8" s="1" t="s">
        <v>96</v>
      </c>
      <c r="C8" s="1" t="s">
        <v>97</v>
      </c>
      <c r="D8" s="1" t="s">
        <v>98</v>
      </c>
      <c r="E8" s="1" t="s">
        <v>135</v>
      </c>
      <c r="F8" s="1" t="s">
        <v>136</v>
      </c>
    </row>
    <row r="9" spans="1:1" x14ac:dyDescent="0.25">
      <c r="A9" s="2" t="s">
        <v>129</v>
      </c>
    </row>
    <row r="10" spans="1:6" x14ac:dyDescent="0.25">
      <c r="A10" t="s">
        <v>137</v>
      </c>
      <c r="B10" s="9">
        <f>$B$3*Supuestos!$B$4</f>
        <v>388516.80000000005</v>
      </c>
      <c r="C10" s="9">
        <f>$B$3*Supuestos!$B$4</f>
        <v>388516.80000000005</v>
      </c>
      <c r="D10" s="9">
        <f>$B$3*Supuestos!$B$4</f>
        <v>388516.80000000005</v>
      </c>
      <c r="E10" s="9">
        <f>$B$3*Supuestos!$B$4</f>
        <v>388516.80000000005</v>
      </c>
      <c r="F10" s="9">
        <f>$B$3*Supuestos!$B$4</f>
        <v>388516.80000000005</v>
      </c>
    </row>
    <row r="11" spans="1:6" x14ac:dyDescent="0.25">
      <c r="A11" t="s">
        <v>138</v>
      </c>
      <c r="B11" s="9">
        <f>MIN(B10*Supuestos!$B$5*$C$3*(1+Supuestos!$B$6)^0,B10*0.9)</f>
        <v>97129.20000000001</v>
      </c>
      <c r="C11" s="9">
        <f>MIN(C10*Supuestos!$B$5*$C$3*(1+Supuestos!$B$6)^1,C10*0.9)</f>
        <v>111698.58</v>
      </c>
      <c r="D11" s="9">
        <f>MIN(D10*Supuestos!$B$5*$C$3*(1+Supuestos!$B$6)^2,D10*0.9)</f>
        <v>128453.367</v>
      </c>
      <c r="E11" s="9">
        <f>MIN(E10*Supuestos!$B$5*$C$3*(1+Supuestos!$B$6)^3,E10*0.9)</f>
        <v>147721.37205</v>
      </c>
      <c r="F11" s="9">
        <f>MIN(F10*Supuestos!$B$5*$C$3*(1+Supuestos!$B$6)^4,F10*0.9)</f>
        <v>169879.57785749997</v>
      </c>
    </row>
    <row r="12" spans="1:6" x14ac:dyDescent="0.25">
      <c r="A12" t="s">
        <v>139</v>
      </c>
      <c r="B12" s="9">
        <f>B11*Supuestos!$B$8</f>
        <v>5827.752</v>
      </c>
      <c r="C12" s="9">
        <f>C11*Supuestos!$B$8</f>
        <v>6701.9148</v>
      </c>
      <c r="D12" s="9">
        <f>D11*Supuestos!$B$8</f>
        <v>7707.20202</v>
      </c>
      <c r="E12" s="9">
        <f>E11*Supuestos!$B$8</f>
        <v>8863.282323</v>
      </c>
      <c r="F12" s="9">
        <f>F11*Supuestos!$B$8</f>
        <v>10192.774671449997</v>
      </c>
    </row>
    <row r="13" spans="1:6" x14ac:dyDescent="0.25">
      <c r="A13" t="s">
        <v>140</v>
      </c>
      <c r="B13" s="9">
        <f>B12</f>
        <v>5827.752</v>
      </c>
      <c r="C13" s="9">
        <f>C12+B13*Supuestos!$B$9</f>
        <v>9615.790799999999</v>
      </c>
      <c r="D13" s="9">
        <f>D12+C13*Supuestos!$B$9</f>
        <v>12515.097419999998</v>
      </c>
      <c r="E13" s="9">
        <f>E12+D13*Supuestos!$B$9</f>
        <v>15120.831032999999</v>
      </c>
      <c r="F13" s="9">
        <f>F12+E13*Supuestos!$B$9</f>
        <v>17753.190187949996</v>
      </c>
    </row>
    <row r="14" spans="1:6" x14ac:dyDescent="0.25">
      <c r="A14" t="s">
        <v>141</v>
      </c>
      <c r="B14" s="9">
        <f>B13*Supuestos!$B$10</f>
        <v>145.6938</v>
      </c>
      <c r="C14" s="9">
        <f>C13*Supuestos!$B$10</f>
        <v>240.39477</v>
      </c>
      <c r="D14" s="9">
        <f>D13*Supuestos!$B$10</f>
        <v>312.8774355</v>
      </c>
      <c r="E14" s="9">
        <f>E13*Supuestos!$B$10</f>
        <v>378.020775825</v>
      </c>
      <c r="F14" s="9">
        <f>F13*Supuestos!$B$10</f>
        <v>443.8297546987499</v>
      </c>
    </row>
    <row r="15" spans="1:6" x14ac:dyDescent="0.25">
      <c r="A15" t="s">
        <v>142</v>
      </c>
      <c r="B15" s="9">
        <f>B14*Supuestos!$B$11</f>
        <v>8013.159000000001</v>
      </c>
      <c r="C15" s="9">
        <f>C14*Supuestos!$B$11</f>
        <v>13221.71235</v>
      </c>
      <c r="D15" s="9">
        <f>D14*Supuestos!$B$11</f>
        <v>17208.2589525</v>
      </c>
      <c r="E15" s="9">
        <f>E14*Supuestos!$B$11</f>
        <v>20791.142670375</v>
      </c>
      <c r="F15" s="9">
        <f>F14*Supuestos!$B$11</f>
        <v>24410.636508431246</v>
      </c>
    </row>
    <row r="16" spans="1:6" x14ac:dyDescent="0.25">
      <c r="A16" t="s">
        <v>143</v>
      </c>
      <c r="B16" s="9">
        <f>(B13*Supuestos!$B$14+B14*Supuestos!$B$15)*Supuestos!$B$16*Supuestos!$B$17</f>
        <v>2797.3209600000005</v>
      </c>
      <c r="C16" s="9">
        <f>(C13*Supuestos!$B$14+C14*Supuestos!$B$15)*Supuestos!$B$16*Supuestos!$B$17</f>
        <v>4615.579584000001</v>
      </c>
      <c r="D16" s="9">
        <f>(D13*Supuestos!$B$14+D14*Supuestos!$B$15)*Supuestos!$B$16*Supuestos!$B$17</f>
        <v>6007.246761599999</v>
      </c>
      <c r="E16" s="9">
        <f>(E13*Supuestos!$B$14+E14*Supuestos!$B$15)*Supuestos!$B$16*Supuestos!$B$17</f>
        <v>7257.998895839999</v>
      </c>
      <c r="F16" s="9">
        <f>(F13*Supuestos!$B$14+F14*Supuestos!$B$15)*Supuestos!$B$16*Supuestos!$B$17</f>
        <v>8521.531290215999</v>
      </c>
    </row>
    <row r="17" spans="1:6" x14ac:dyDescent="0.25">
      <c r="A17" t="s">
        <v>144</v>
      </c>
      <c r="B17" s="9">
        <f>Supuestos!$B$18*Supuestos!$B$19</f>
        <v>20000</v>
      </c>
      <c r="C17" s="9">
        <f>Supuestos!$B$18*Supuestos!$B$19</f>
        <v>20000</v>
      </c>
      <c r="D17" s="9">
        <f>Supuestos!$B$18*Supuestos!$B$19</f>
        <v>20000</v>
      </c>
      <c r="E17" s="9">
        <f>Supuestos!$B$18*Supuestos!$B$19</f>
        <v>20000</v>
      </c>
      <c r="F17" s="9">
        <f>Supuestos!$B$18*Supuestos!$B$19</f>
        <v>20000</v>
      </c>
    </row>
    <row r="18" spans="1:6" x14ac:dyDescent="0.25">
      <c r="A18" t="s">
        <v>145</v>
      </c>
      <c r="B18" s="9">
        <f>Supuestos!$B$20*2*Supuestos!$B$21*(1-Supuestos!$B$22)</f>
        <v>25600</v>
      </c>
      <c r="C18" s="9">
        <f>Supuestos!$B$20*2*Supuestos!$B$21*(1-Supuestos!$B$22)</f>
        <v>25600</v>
      </c>
      <c r="D18" s="9">
        <f>Supuestos!$B$20*2*Supuestos!$B$21*(1-Supuestos!$B$22)</f>
        <v>25600</v>
      </c>
      <c r="E18" s="9">
        <f>Supuestos!$B$20*2*Supuestos!$B$21*(1-Supuestos!$B$22)</f>
        <v>25600</v>
      </c>
      <c r="F18" s="9">
        <f>Supuestos!$B$20*2*Supuestos!$B$21*(1-Supuestos!$B$22)</f>
        <v>25600</v>
      </c>
    </row>
    <row r="19" spans="1:6" x14ac:dyDescent="0.25">
      <c r="A19" t="s">
        <v>146</v>
      </c>
      <c r="B19" s="9">
        <f>Supuestos!$B$23*Supuestos!$B$24</f>
        <v>50000</v>
      </c>
      <c r="C19" s="9">
        <f>0</f>
        <v>0</v>
      </c>
      <c r="D19" s="9">
        <f>0</f>
        <v>0</v>
      </c>
      <c r="E19" s="9">
        <f>0</f>
        <v>0</v>
      </c>
      <c r="F19" s="9">
        <f>0</f>
        <v>0</v>
      </c>
    </row>
    <row r="20" spans="1:6" x14ac:dyDescent="0.25">
      <c r="A20" t="s">
        <v>147</v>
      </c>
      <c r="B20" s="9">
        <f>B11*Supuestos!$B$25/1000*Supuestos!$B$26*Supuestos!$B$27</f>
        <v>17483.256</v>
      </c>
      <c r="C20" s="9">
        <f>C11*Supuestos!$B$25/1000*Supuestos!$B$26*Supuestos!$B$27</f>
        <v>20105.7444</v>
      </c>
      <c r="D20" s="9">
        <f>D11*Supuestos!$B$25/1000*Supuestos!$B$26*Supuestos!$B$27</f>
        <v>23121.60606</v>
      </c>
      <c r="E20" s="9">
        <f>E11*Supuestos!$B$25/1000*Supuestos!$B$26*Supuestos!$B$27</f>
        <v>26589.846969000002</v>
      </c>
      <c r="F20" s="9">
        <f>F11*Supuestos!$B$25/1000*Supuestos!$B$26*Supuestos!$B$27</f>
        <v>30578.324014349993</v>
      </c>
    </row>
    <row r="21" spans="1:6" x14ac:dyDescent="0.25">
      <c r="A21" t="s">
        <v>148</v>
      </c>
      <c r="B21" s="9">
        <f>(B13*Supuestos!$B$28+B14*Supuestos!$B$29)*Supuestos!$B$30*Supuestos!$B$31*Supuestos!$B$17</f>
        <v>1573.4930400000003</v>
      </c>
      <c r="C21" s="9">
        <f>(C13*Supuestos!$B$28+C14*Supuestos!$B$29)*Supuestos!$B$30*Supuestos!$B$31*Supuestos!$B$17</f>
        <v>2596.263516</v>
      </c>
      <c r="D21" s="9">
        <f>(D13*Supuestos!$B$28+D14*Supuestos!$B$29)*Supuestos!$B$30*Supuestos!$B$31*Supuestos!$B$17</f>
        <v>3379.0763033999997</v>
      </c>
      <c r="E21" s="9">
        <f>(E13*Supuestos!$B$28+E14*Supuestos!$B$29)*Supuestos!$B$30*Supuestos!$B$31*Supuestos!$B$17</f>
        <v>4082.6243789099995</v>
      </c>
      <c r="F21" s="9">
        <f>(F13*Supuestos!$B$28+F14*Supuestos!$B$29)*Supuestos!$B$30*Supuestos!$B$31*Supuestos!$B$17</f>
        <v>4793.361350746499</v>
      </c>
    </row>
    <row r="22" spans="1:6" s="8" customFormat="1" x14ac:dyDescent="0.25">
      <c r="A22" s="8" t="s">
        <v>149</v>
      </c>
      <c r="B22" s="10">
        <f>B15+B16+B17+B18+B19+B20+B21</f>
        <v>125467.22899999999</v>
      </c>
      <c r="C22" s="10">
        <f>C15+C16+C17+C18+C19+C20+C21</f>
        <v>86139.29985000001</v>
      </c>
      <c r="D22" s="10">
        <f>D15+D16+D17+D18+D19+D20+D21</f>
        <v>95316.18807749999</v>
      </c>
      <c r="E22" s="10">
        <f>E15+E16+E17+E18+E19+E20+E21</f>
        <v>104321.612914125</v>
      </c>
      <c r="F22" s="10">
        <f>F15+F16+F17+F18+F19+F20+F21</f>
        <v>113903.85316374374</v>
      </c>
    </row>
    <row r="23" spans="1:6" x14ac:dyDescent="0.25">
      <c r="A23" t="s">
        <v>150</v>
      </c>
      <c r="B23" s="9">
        <f>-Supuestos!$B$33*1</f>
        <v>-200000</v>
      </c>
      <c r="C23" s="9">
        <f>-Supuestos!$B$33*1</f>
        <v>-200000</v>
      </c>
      <c r="D23" s="9">
        <f>-Supuestos!$B$33*1</f>
        <v>-200000</v>
      </c>
      <c r="E23" s="9">
        <f>-Supuestos!$B$33*1</f>
        <v>-200000</v>
      </c>
      <c r="F23" s="9">
        <f>-Supuestos!$B$33*1</f>
        <v>-200000</v>
      </c>
    </row>
    <row r="24" spans="1:6" x14ac:dyDescent="0.25">
      <c r="A24" t="s">
        <v>151</v>
      </c>
      <c r="B24" s="9">
        <f>-Supuestos!$B$34*1</f>
        <v>-100000</v>
      </c>
      <c r="C24" s="9">
        <f>-Supuestos!$B$34*1</f>
        <v>-100000</v>
      </c>
      <c r="D24" s="9">
        <f>-Supuestos!$B$34*1</f>
        <v>-100000</v>
      </c>
      <c r="E24" s="9">
        <f>-Supuestos!$B$34*1</f>
        <v>-100000</v>
      </c>
      <c r="F24" s="9">
        <f>-Supuestos!$B$34*1</f>
        <v>-100000</v>
      </c>
    </row>
    <row r="25" spans="1:6" x14ac:dyDescent="0.25">
      <c r="A25" t="s">
        <v>152</v>
      </c>
      <c r="B25" s="9">
        <f>-Supuestos!$B$35*1</f>
        <v>-100000</v>
      </c>
      <c r="C25" s="9">
        <f>-Supuestos!$B$35*1</f>
        <v>-100000</v>
      </c>
      <c r="D25" s="9">
        <f>-Supuestos!$B$35*1</f>
        <v>-100000</v>
      </c>
      <c r="E25" s="9">
        <f>-Supuestos!$B$35*1</f>
        <v>-100000</v>
      </c>
      <c r="F25" s="9">
        <f>-Supuestos!$B$35*1</f>
        <v>-100000</v>
      </c>
    </row>
    <row r="26" spans="1:6" x14ac:dyDescent="0.25">
      <c r="A26" t="s">
        <v>153</v>
      </c>
      <c r="B26" s="9">
        <f>-Supuestos!$B$36*1</f>
        <v>-280000</v>
      </c>
      <c r="C26" s="9">
        <f>-Supuestos!$B$37*1</f>
        <v>-40000</v>
      </c>
      <c r="D26" s="9">
        <f>-Supuestos!$B$37*1</f>
        <v>-40000</v>
      </c>
      <c r="E26" s="9">
        <f>-Supuestos!$B$37*1</f>
        <v>-40000</v>
      </c>
      <c r="F26" s="9">
        <f>-Supuestos!$B$37*1</f>
        <v>-40000</v>
      </c>
    </row>
    <row r="27" spans="1:6" x14ac:dyDescent="0.25">
      <c r="A27" t="s">
        <v>154</v>
      </c>
      <c r="B27" s="9">
        <f>-Supuestos!$B$38*1</f>
        <v>-120000</v>
      </c>
      <c r="C27" s="9">
        <f>-Supuestos!$B$39*1</f>
        <v>-50000</v>
      </c>
      <c r="D27" s="9">
        <f>-Supuestos!$B$39*1</f>
        <v>-50000</v>
      </c>
      <c r="E27" s="9">
        <f>-Supuestos!$B$39*1</f>
        <v>-50000</v>
      </c>
      <c r="F27" s="9">
        <f>-Supuestos!$B$39*1</f>
        <v>-50000</v>
      </c>
    </row>
    <row r="28" spans="1:6" x14ac:dyDescent="0.25">
      <c r="A28" t="s">
        <v>155</v>
      </c>
      <c r="B28" s="9">
        <f>-B14*Supuestos!$B$12</f>
        <v>-2913.876</v>
      </c>
      <c r="C28" s="9">
        <f>-C14*Supuestos!$B$12</f>
        <v>-4807.895399999999</v>
      </c>
      <c r="D28" s="9">
        <f>-D14*Supuestos!$B$12</f>
        <v>-6257.54871</v>
      </c>
      <c r="E28" s="9">
        <f>-E14*Supuestos!$B$12</f>
        <v>-7560.415516499999</v>
      </c>
      <c r="F28" s="9">
        <f>-F14*Supuestos!$B$12</f>
        <v>-8876.595093974998</v>
      </c>
    </row>
    <row r="29" spans="1:6" x14ac:dyDescent="0.25">
      <c r="A29" t="s">
        <v>156</v>
      </c>
      <c r="B29" s="9">
        <f>-Supuestos!$B$18*Supuestos!$B$41</f>
        <v>-40000</v>
      </c>
      <c r="C29" s="9">
        <f>0</f>
        <v>0</v>
      </c>
      <c r="D29" s="9">
        <f>0</f>
        <v>0</v>
      </c>
      <c r="E29" s="9">
        <f>0</f>
        <v>0</v>
      </c>
      <c r="F29" s="9">
        <f>0</f>
        <v>0</v>
      </c>
    </row>
    <row r="30" spans="1:6" x14ac:dyDescent="0.25">
      <c r="A30" t="s">
        <v>157</v>
      </c>
      <c r="B30" s="9">
        <f>-Supuestos!$B$40</f>
        <v>-40000</v>
      </c>
      <c r="C30" s="9">
        <f>0</f>
        <v>0</v>
      </c>
      <c r="D30" s="9">
        <f>0</f>
        <v>0</v>
      </c>
      <c r="E30" s="9">
        <f>0</f>
        <v>0</v>
      </c>
      <c r="F30" s="9">
        <f>0</f>
        <v>0</v>
      </c>
    </row>
    <row r="31" spans="1:6" s="8" customFormat="1" x14ac:dyDescent="0.25">
      <c r="A31" s="8" t="s">
        <v>158</v>
      </c>
      <c r="B31" s="10">
        <f>-(B23+B24+B25+B26+B27+B28+B29+B30)</f>
        <v>882913.876</v>
      </c>
      <c r="C31" s="10">
        <f>-(C23+C24+C25+C26+C27+C28+C29+C30)</f>
        <v>494807.8954</v>
      </c>
      <c r="D31" s="10">
        <f>-(D23+D24+D25+D26+D27+D28+D29+D30)</f>
        <v>496257.54871</v>
      </c>
      <c r="E31" s="10">
        <f>-(E23+E24+E25+E26+E27+E28+E29+E30)</f>
        <v>497560.4155165</v>
      </c>
      <c r="F31" s="10">
        <f>-(F23+F24+F25+F26+F27+F28+F29+F30)</f>
        <v>498876.595093975</v>
      </c>
    </row>
    <row r="32" spans="1:6" s="8" customFormat="1" x14ac:dyDescent="0.25">
      <c r="A32" s="8" t="s">
        <v>159</v>
      </c>
      <c r="B32" s="10">
        <f>B22-B31</f>
        <v>-757446.6470000001</v>
      </c>
      <c r="C32" s="10">
        <f>C22-C31</f>
        <v>-408668.59554999997</v>
      </c>
      <c r="D32" s="10">
        <f>D22-D31</f>
        <v>-400941.36063250003</v>
      </c>
      <c r="E32" s="10">
        <f>E22-E31</f>
        <v>-393238.80260237504</v>
      </c>
      <c r="F32" s="10">
        <f>F22-F31</f>
        <v>-384972.7419302313</v>
      </c>
    </row>
    <row r="33" spans="1:6" x14ac:dyDescent="0.25">
      <c r="A33" t="s">
        <v>160</v>
      </c>
      <c r="B33" s="9">
        <f>B32</f>
        <v>-757446.6470000001</v>
      </c>
      <c r="C33" s="9">
        <f>C32+B33</f>
        <v>-1166115.24255</v>
      </c>
      <c r="D33" s="9">
        <f>D32+C33</f>
        <v>-1567056.6031825002</v>
      </c>
      <c r="E33" s="9">
        <f>E32+D33</f>
        <v>-1960295.4057848752</v>
      </c>
      <c r="F33" s="9">
        <f>F32+E33</f>
        <v>-2345268.1477151066</v>
      </c>
    </row>
    <row r="34" spans="1:1" x14ac:dyDescent="0.25">
      <c r="A34" s="2" t="s">
        <v>130</v>
      </c>
    </row>
    <row r="35" spans="1:6" x14ac:dyDescent="0.25">
      <c r="A35" t="s">
        <v>137</v>
      </c>
      <c r="B35">
        <v>0</v>
      </c>
      <c r="C35" s="9">
        <f>$B$4*Supuestos!$B$4</f>
        <v>1294930.4000000001</v>
      </c>
      <c r="D35" s="9">
        <f>$B$4*Supuestos!$B$4</f>
        <v>1294930.4000000001</v>
      </c>
      <c r="E35" s="9">
        <f>$B$4*Supuestos!$B$4</f>
        <v>1294930.4000000001</v>
      </c>
      <c r="F35" s="9">
        <f>$B$4*Supuestos!$B$4</f>
        <v>1294930.4000000001</v>
      </c>
    </row>
    <row r="36" spans="1:6" x14ac:dyDescent="0.25">
      <c r="A36" t="s">
        <v>138</v>
      </c>
      <c r="B36">
        <v>0</v>
      </c>
      <c r="C36" s="9">
        <f>MIN(C35*Supuestos!$B$5*$C$4*(1+Supuestos!$B$6)^0,C35*0.9)</f>
        <v>161866.30000000002</v>
      </c>
      <c r="D36" s="9">
        <f>MIN(D35*Supuestos!$B$5*$C$4*(1+Supuestos!$B$6)^1,D35*0.9)</f>
        <v>186146.245</v>
      </c>
      <c r="E36" s="9">
        <f>MIN(E35*Supuestos!$B$5*$C$4*(1+Supuestos!$B$6)^2,E35*0.9)</f>
        <v>214068.18175</v>
      </c>
      <c r="F36" s="9">
        <f>MIN(F35*Supuestos!$B$5*$C$4*(1+Supuestos!$B$6)^3,F35*0.9)</f>
        <v>246178.4090125</v>
      </c>
    </row>
    <row r="37" spans="1:6" x14ac:dyDescent="0.25">
      <c r="A37" t="s">
        <v>139</v>
      </c>
      <c r="B37">
        <v>0</v>
      </c>
      <c r="C37" s="9">
        <f>C36*Supuestos!$B$8</f>
        <v>9711.978000000001</v>
      </c>
      <c r="D37" s="9">
        <f>D36*Supuestos!$B$8</f>
        <v>11168.7747</v>
      </c>
      <c r="E37" s="9">
        <f>E36*Supuestos!$B$8</f>
        <v>12844.090905</v>
      </c>
      <c r="F37" s="9">
        <f>F36*Supuestos!$B$8</f>
        <v>14770.704540749999</v>
      </c>
    </row>
    <row r="38" spans="1:6" x14ac:dyDescent="0.25">
      <c r="A38" t="s">
        <v>140</v>
      </c>
      <c r="B38">
        <v>0</v>
      </c>
      <c r="C38" s="9">
        <f>C37</f>
        <v>9711.978000000001</v>
      </c>
      <c r="D38" s="9">
        <f>D37+C38*Supuestos!$B$9</f>
        <v>16024.7637</v>
      </c>
      <c r="E38" s="9">
        <f>E37+D38*Supuestos!$B$9</f>
        <v>20856.472755</v>
      </c>
      <c r="F38" s="9">
        <f>F37+E38*Supuestos!$B$9</f>
        <v>25198.94091825</v>
      </c>
    </row>
    <row r="39" spans="1:6" x14ac:dyDescent="0.25">
      <c r="A39" t="s">
        <v>141</v>
      </c>
      <c r="B39">
        <v>0</v>
      </c>
      <c r="C39" s="9">
        <f>C38*Supuestos!$B$10</f>
        <v>242.79945000000004</v>
      </c>
      <c r="D39" s="9">
        <f>D38*Supuestos!$B$10</f>
        <v>400.6190925</v>
      </c>
      <c r="E39" s="9">
        <f>E38*Supuestos!$B$10</f>
        <v>521.411818875</v>
      </c>
      <c r="F39" s="9">
        <f>F38*Supuestos!$B$10</f>
        <v>629.97352295625</v>
      </c>
    </row>
    <row r="40" spans="1:6" x14ac:dyDescent="0.25">
      <c r="A40" t="s">
        <v>142</v>
      </c>
      <c r="B40">
        <v>0</v>
      </c>
      <c r="C40" s="9">
        <f>C39*Supuestos!$B$11</f>
        <v>13353.969750000002</v>
      </c>
      <c r="D40" s="9">
        <f>D39*Supuestos!$B$11</f>
        <v>22034.0500875</v>
      </c>
      <c r="E40" s="9">
        <f>E39*Supuestos!$B$11</f>
        <v>28677.650038125</v>
      </c>
      <c r="F40" s="9">
        <f>F39*Supuestos!$B$11</f>
        <v>34648.54376259375</v>
      </c>
    </row>
    <row r="41" spans="1:6" x14ac:dyDescent="0.25">
      <c r="A41" t="s">
        <v>143</v>
      </c>
      <c r="B41">
        <v>0</v>
      </c>
      <c r="C41" s="9">
        <f>(C38*Supuestos!$B$14+C39*Supuestos!$B$15)*Supuestos!$B$16*Supuestos!$B$17</f>
        <v>4661.749440000001</v>
      </c>
      <c r="D41" s="9">
        <f>(D38*Supuestos!$B$14+D39*Supuestos!$B$15)*Supuestos!$B$16*Supuestos!$B$17</f>
        <v>7691.886576000001</v>
      </c>
      <c r="E41" s="9">
        <f>(E38*Supuestos!$B$14+E39*Supuestos!$B$15)*Supuestos!$B$16*Supuestos!$B$17</f>
        <v>10011.1069224</v>
      </c>
      <c r="F41" s="9">
        <f>(F38*Supuestos!$B$14+F39*Supuestos!$B$15)*Supuestos!$B$16*Supuestos!$B$17</f>
        <v>12095.491640760001</v>
      </c>
    </row>
    <row r="42" spans="1:6" x14ac:dyDescent="0.25">
      <c r="A42" t="s">
        <v>144</v>
      </c>
      <c r="B42">
        <v>0</v>
      </c>
      <c r="C42" s="9">
        <f>Supuestos!$B$18*Supuestos!$B$19</f>
        <v>20000</v>
      </c>
      <c r="D42" s="9">
        <f>Supuestos!$B$18*Supuestos!$B$19</f>
        <v>20000</v>
      </c>
      <c r="E42" s="9">
        <f>Supuestos!$B$18*Supuestos!$B$19</f>
        <v>20000</v>
      </c>
      <c r="F42" s="9">
        <f>Supuestos!$B$18*Supuestos!$B$19</f>
        <v>20000</v>
      </c>
    </row>
    <row r="43" spans="1:6" x14ac:dyDescent="0.25">
      <c r="A43" t="s">
        <v>145</v>
      </c>
      <c r="B43">
        <v>0</v>
      </c>
      <c r="C43" s="9">
        <f>Supuestos!$B$20*2*Supuestos!$B$21*(1-Supuestos!$B$22)</f>
        <v>25600</v>
      </c>
      <c r="D43" s="9">
        <f>Supuestos!$B$20*2*Supuestos!$B$21*(1-Supuestos!$B$22)</f>
        <v>25600</v>
      </c>
      <c r="E43" s="9">
        <f>Supuestos!$B$20*2*Supuestos!$B$21*(1-Supuestos!$B$22)</f>
        <v>25600</v>
      </c>
      <c r="F43" s="9">
        <f>Supuestos!$B$20*2*Supuestos!$B$21*(1-Supuestos!$B$22)</f>
        <v>25600</v>
      </c>
    </row>
    <row r="44" spans="1:6" x14ac:dyDescent="0.25">
      <c r="A44" t="s">
        <v>146</v>
      </c>
      <c r="B44">
        <v>0</v>
      </c>
      <c r="C44" s="9">
        <f>Supuestos!$B$23*Supuestos!$B$24</f>
        <v>50000</v>
      </c>
      <c r="D44" s="9">
        <f>0</f>
        <v>0</v>
      </c>
      <c r="E44" s="9">
        <f>0</f>
        <v>0</v>
      </c>
      <c r="F44" s="9">
        <f>0</f>
        <v>0</v>
      </c>
    </row>
    <row r="45" spans="1:6" x14ac:dyDescent="0.25">
      <c r="A45" t="s">
        <v>147</v>
      </c>
      <c r="B45">
        <v>0</v>
      </c>
      <c r="C45" s="9">
        <f>C36*Supuestos!$B$25/1000*Supuestos!$B$26*Supuestos!$B$27</f>
        <v>29135.934000000005</v>
      </c>
      <c r="D45" s="9">
        <f>D36*Supuestos!$B$25/1000*Supuestos!$B$26*Supuestos!$B$27</f>
        <v>33506.3241</v>
      </c>
      <c r="E45" s="9">
        <f>E36*Supuestos!$B$25/1000*Supuestos!$B$26*Supuestos!$B$27</f>
        <v>38532.27271499999</v>
      </c>
      <c r="F45" s="9">
        <f>F36*Supuestos!$B$25/1000*Supuestos!$B$26*Supuestos!$B$27</f>
        <v>44312.11362225</v>
      </c>
    </row>
    <row r="46" spans="1:6" x14ac:dyDescent="0.25">
      <c r="A46" t="s">
        <v>148</v>
      </c>
      <c r="B46">
        <v>0</v>
      </c>
      <c r="C46" s="9">
        <f>(C38*Supuestos!$B$28+C39*Supuestos!$B$29)*Supuestos!$B$30*Supuestos!$B$31*Supuestos!$B$17</f>
        <v>2622.2340600000007</v>
      </c>
      <c r="D46" s="9">
        <f>(D38*Supuestos!$B$28+D39*Supuestos!$B$29)*Supuestos!$B$30*Supuestos!$B$31*Supuestos!$B$17</f>
        <v>4326.686199</v>
      </c>
      <c r="E46" s="9">
        <f>(E38*Supuestos!$B$28+E39*Supuestos!$B$29)*Supuestos!$B$30*Supuestos!$B$31*Supuestos!$B$17</f>
        <v>5631.247643850001</v>
      </c>
      <c r="F46" s="9">
        <f>(F38*Supuestos!$B$28+F39*Supuestos!$B$29)*Supuestos!$B$30*Supuestos!$B$31*Supuestos!$B$17</f>
        <v>6803.7140479275</v>
      </c>
    </row>
    <row r="47" spans="1:6" s="8" customFormat="1" x14ac:dyDescent="0.25">
      <c r="A47" s="8" t="s">
        <v>149</v>
      </c>
      <c r="B47" s="8">
        <v>0</v>
      </c>
      <c r="C47" s="10">
        <f>C40+C41+C42+C43+C44+C45+C46</f>
        <v>145373.88725</v>
      </c>
      <c r="D47" s="10">
        <f>D40+D41+D42+D43+D44+D45+D46</f>
        <v>113158.9469625</v>
      </c>
      <c r="E47" s="10">
        <f>E40+E41+E42+E43+E44+E45+E46</f>
        <v>128452.277319375</v>
      </c>
      <c r="F47" s="10">
        <f>F40+F41+F42+F43+F44+F45+F46</f>
        <v>143459.86307353125</v>
      </c>
    </row>
    <row r="48" spans="1:6" x14ac:dyDescent="0.25">
      <c r="A48" t="s">
        <v>150</v>
      </c>
      <c r="B48">
        <v>0</v>
      </c>
      <c r="C48" s="9">
        <f>-Supuestos!$B$33*1</f>
        <v>-200000</v>
      </c>
      <c r="D48" s="9">
        <f>-Supuestos!$B$33*1</f>
        <v>-200000</v>
      </c>
      <c r="E48" s="9">
        <f>-Supuestos!$B$33*1</f>
        <v>-200000</v>
      </c>
      <c r="F48" s="9">
        <f>-Supuestos!$B$33*1</f>
        <v>-200000</v>
      </c>
    </row>
    <row r="49" spans="1:6" x14ac:dyDescent="0.25">
      <c r="A49" t="s">
        <v>151</v>
      </c>
      <c r="B49">
        <v>0</v>
      </c>
      <c r="C49" s="9">
        <f>-Supuestos!$B$34*1</f>
        <v>-100000</v>
      </c>
      <c r="D49" s="9">
        <f>-Supuestos!$B$34*1</f>
        <v>-100000</v>
      </c>
      <c r="E49" s="9">
        <f>-Supuestos!$B$34*1</f>
        <v>-100000</v>
      </c>
      <c r="F49" s="9">
        <f>-Supuestos!$B$34*1</f>
        <v>-100000</v>
      </c>
    </row>
    <row r="50" spans="1:6" x14ac:dyDescent="0.25">
      <c r="A50" t="s">
        <v>152</v>
      </c>
      <c r="B50">
        <v>0</v>
      </c>
      <c r="C50" s="9">
        <f>-Supuestos!$B$35*1</f>
        <v>-100000</v>
      </c>
      <c r="D50" s="9">
        <f>-Supuestos!$B$35*1</f>
        <v>-100000</v>
      </c>
      <c r="E50" s="9">
        <f>-Supuestos!$B$35*1</f>
        <v>-100000</v>
      </c>
      <c r="F50" s="9">
        <f>-Supuestos!$B$35*1</f>
        <v>-100000</v>
      </c>
    </row>
    <row r="51" spans="1:6" x14ac:dyDescent="0.25">
      <c r="A51" t="s">
        <v>153</v>
      </c>
      <c r="B51">
        <v>0</v>
      </c>
      <c r="C51" s="9">
        <f>-Supuestos!$B$36*1</f>
        <v>-280000</v>
      </c>
      <c r="D51" s="9">
        <f>-Supuestos!$B$37*1</f>
        <v>-40000</v>
      </c>
      <c r="E51" s="9">
        <f>-Supuestos!$B$37*1</f>
        <v>-40000</v>
      </c>
      <c r="F51" s="9">
        <f>-Supuestos!$B$37*1</f>
        <v>-40000</v>
      </c>
    </row>
    <row r="52" spans="1:6" x14ac:dyDescent="0.25">
      <c r="A52" t="s">
        <v>154</v>
      </c>
      <c r="B52">
        <v>0</v>
      </c>
      <c r="C52" s="9">
        <f>-Supuestos!$B$38*1</f>
        <v>-120000</v>
      </c>
      <c r="D52" s="9">
        <f>-Supuestos!$B$39*1</f>
        <v>-50000</v>
      </c>
      <c r="E52" s="9">
        <f>-Supuestos!$B$39*1</f>
        <v>-50000</v>
      </c>
      <c r="F52" s="9">
        <f>-Supuestos!$B$39*1</f>
        <v>-50000</v>
      </c>
    </row>
    <row r="53" spans="1:6" x14ac:dyDescent="0.25">
      <c r="A53" t="s">
        <v>155</v>
      </c>
      <c r="B53">
        <v>0</v>
      </c>
      <c r="C53" s="9">
        <f>-C39*Supuestos!$B$12</f>
        <v>-4855.9890000000005</v>
      </c>
      <c r="D53" s="9">
        <f>-D39*Supuestos!$B$12</f>
        <v>-8012.381850000001</v>
      </c>
      <c r="E53" s="9">
        <f>-E39*Supuestos!$B$12</f>
        <v>-10428.2363775</v>
      </c>
      <c r="F53" s="9">
        <f>-F39*Supuestos!$B$12</f>
        <v>-12599.470459125001</v>
      </c>
    </row>
    <row r="54" spans="1:6" x14ac:dyDescent="0.25">
      <c r="A54" t="s">
        <v>156</v>
      </c>
      <c r="B54">
        <v>0</v>
      </c>
      <c r="C54" s="9">
        <f>-Supuestos!$B$18*Supuestos!$B$41</f>
        <v>-40000</v>
      </c>
      <c r="D54" s="9">
        <f>0</f>
        <v>0</v>
      </c>
      <c r="E54" s="9">
        <f>0</f>
        <v>0</v>
      </c>
      <c r="F54" s="9">
        <f>0</f>
        <v>0</v>
      </c>
    </row>
    <row r="55" spans="1:6" x14ac:dyDescent="0.25">
      <c r="A55" t="s">
        <v>157</v>
      </c>
      <c r="B55">
        <v>0</v>
      </c>
      <c r="C55" s="9">
        <f>0</f>
        <v>0</v>
      </c>
      <c r="D55" s="9">
        <f>0</f>
        <v>0</v>
      </c>
      <c r="E55" s="9">
        <f>0</f>
        <v>0</v>
      </c>
      <c r="F55" s="9">
        <f>0</f>
        <v>0</v>
      </c>
    </row>
    <row r="56" spans="1:6" s="8" customFormat="1" x14ac:dyDescent="0.25">
      <c r="A56" s="8" t="s">
        <v>158</v>
      </c>
      <c r="B56" s="8">
        <v>0</v>
      </c>
      <c r="C56" s="10">
        <f>-(C48+C49+C50+C51+C52+C53+C54+C55)</f>
        <v>844855.989</v>
      </c>
      <c r="D56" s="10">
        <f>-(D48+D49+D50+D51+D52+D53+D54+D55)</f>
        <v>498012.38185</v>
      </c>
      <c r="E56" s="10">
        <f>-(E48+E49+E50+E51+E52+E53+E54+E55)</f>
        <v>500428.2363775</v>
      </c>
      <c r="F56" s="10">
        <f>-(F48+F49+F50+F51+F52+F53+F54+F55)</f>
        <v>502599.470459125</v>
      </c>
    </row>
    <row r="57" spans="1:6" s="8" customFormat="1" x14ac:dyDescent="0.25">
      <c r="A57" s="8" t="s">
        <v>159</v>
      </c>
      <c r="B57" s="8">
        <v>0</v>
      </c>
      <c r="C57" s="10">
        <f>C47-C56</f>
        <v>-699482.1017499999</v>
      </c>
      <c r="D57" s="10">
        <f>D47-D56</f>
        <v>-384853.4348875</v>
      </c>
      <c r="E57" s="10">
        <f>E47-E56</f>
        <v>-371975.959058125</v>
      </c>
      <c r="F57" s="10">
        <f>F47-F56</f>
        <v>-359139.60738559376</v>
      </c>
    </row>
    <row r="58" spans="1:6" x14ac:dyDescent="0.25">
      <c r="A58" t="s">
        <v>160</v>
      </c>
      <c r="B58">
        <v>0</v>
      </c>
      <c r="C58" s="9">
        <f>C57</f>
        <v>-699482.1017499999</v>
      </c>
      <c r="D58" s="9">
        <f>D57+C58</f>
        <v>-1084335.5366375</v>
      </c>
      <c r="E58" s="9">
        <f>E57+D58</f>
        <v>-1456311.495695625</v>
      </c>
      <c r="F58" s="9">
        <f>F57+E58</f>
        <v>-1815451.1030812187</v>
      </c>
    </row>
    <row r="59" spans="1:1" x14ac:dyDescent="0.25">
      <c r="A59" s="2" t="s">
        <v>131</v>
      </c>
    </row>
    <row r="60" spans="1:6" x14ac:dyDescent="0.25">
      <c r="A60" t="s">
        <v>137</v>
      </c>
      <c r="B60">
        <v>0</v>
      </c>
      <c r="C60">
        <v>0</v>
      </c>
      <c r="D60" s="9">
        <f>$B$5*Supuestos!$B$4</f>
        <v>367619.4</v>
      </c>
      <c r="E60" s="9">
        <f>$B$5*Supuestos!$B$4</f>
        <v>367619.4</v>
      </c>
      <c r="F60" s="9">
        <f>$B$5*Supuestos!$B$4</f>
        <v>367619.4</v>
      </c>
    </row>
    <row r="61" spans="1:6" x14ac:dyDescent="0.25">
      <c r="A61" t="s">
        <v>138</v>
      </c>
      <c r="B61">
        <v>0</v>
      </c>
      <c r="C61">
        <v>0</v>
      </c>
      <c r="D61" s="9">
        <f>MIN(D60*Supuestos!$B$5*$C$5*(1+Supuestos!$B$6)^0,D60*0.9)</f>
        <v>91904.85</v>
      </c>
      <c r="E61" s="9">
        <f>MIN(E60*Supuestos!$B$5*$C$5*(1+Supuestos!$B$6)^1,E60*0.9)</f>
        <v>105690.5775</v>
      </c>
      <c r="F61" s="9">
        <f>MIN(F60*Supuestos!$B$5*$C$5*(1+Supuestos!$B$6)^2,F60*0.9)</f>
        <v>121544.16412499998</v>
      </c>
    </row>
    <row r="62" spans="1:6" x14ac:dyDescent="0.25">
      <c r="A62" t="s">
        <v>139</v>
      </c>
      <c r="B62">
        <v>0</v>
      </c>
      <c r="C62">
        <v>0</v>
      </c>
      <c r="D62" s="9">
        <f>D61*Supuestos!$B$8</f>
        <v>5514.291</v>
      </c>
      <c r="E62" s="9">
        <f>E61*Supuestos!$B$8</f>
        <v>6341.43465</v>
      </c>
      <c r="F62" s="9">
        <f>F61*Supuestos!$B$8</f>
        <v>7292.649847499999</v>
      </c>
    </row>
    <row r="63" spans="1:6" x14ac:dyDescent="0.25">
      <c r="A63" t="s">
        <v>140</v>
      </c>
      <c r="B63">
        <v>0</v>
      </c>
      <c r="C63">
        <v>0</v>
      </c>
      <c r="D63" s="9">
        <f>D62</f>
        <v>5514.291</v>
      </c>
      <c r="E63" s="9">
        <f>E62+D63*Supuestos!$B$9</f>
        <v>9098.58015</v>
      </c>
      <c r="F63" s="9">
        <f>F62+E63*Supuestos!$B$9</f>
        <v>11841.939922499998</v>
      </c>
    </row>
    <row r="64" spans="1:6" x14ac:dyDescent="0.25">
      <c r="A64" t="s">
        <v>141</v>
      </c>
      <c r="B64">
        <v>0</v>
      </c>
      <c r="C64">
        <v>0</v>
      </c>
      <c r="D64" s="9">
        <f>D63*Supuestos!$B$10</f>
        <v>137.85727500000002</v>
      </c>
      <c r="E64" s="9">
        <f>E63*Supuestos!$B$10</f>
        <v>227.46450375</v>
      </c>
      <c r="F64" s="9">
        <f>F63*Supuestos!$B$10</f>
        <v>296.04849806249996</v>
      </c>
    </row>
    <row r="65" spans="1:6" x14ac:dyDescent="0.25">
      <c r="A65" t="s">
        <v>142</v>
      </c>
      <c r="B65">
        <v>0</v>
      </c>
      <c r="C65">
        <v>0</v>
      </c>
      <c r="D65" s="9">
        <f>D64*Supuestos!$B$11</f>
        <v>7582.150125000001</v>
      </c>
      <c r="E65" s="9">
        <f>E64*Supuestos!$B$11</f>
        <v>12510.54770625</v>
      </c>
      <c r="F65" s="9">
        <f>F64*Supuestos!$B$11</f>
        <v>16282.667393437498</v>
      </c>
    </row>
    <row r="66" spans="1:6" x14ac:dyDescent="0.25">
      <c r="A66" t="s">
        <v>143</v>
      </c>
      <c r="B66">
        <v>0</v>
      </c>
      <c r="C66">
        <v>0</v>
      </c>
      <c r="D66" s="9">
        <f>(D63*Supuestos!$B$14+D64*Supuestos!$B$15)*Supuestos!$B$16*Supuestos!$B$17</f>
        <v>2646.85968</v>
      </c>
      <c r="E66" s="9">
        <f>(E63*Supuestos!$B$14+E64*Supuestos!$B$15)*Supuestos!$B$16*Supuestos!$B$17</f>
        <v>4367.318472000001</v>
      </c>
      <c r="F66" s="9">
        <f>(F63*Supuestos!$B$14+F64*Supuestos!$B$15)*Supuestos!$B$16*Supuestos!$B$17</f>
        <v>5684.131162799999</v>
      </c>
    </row>
    <row r="67" spans="1:6" x14ac:dyDescent="0.25">
      <c r="A67" t="s">
        <v>144</v>
      </c>
      <c r="B67">
        <v>0</v>
      </c>
      <c r="C67">
        <v>0</v>
      </c>
      <c r="D67" s="9">
        <f>Supuestos!$B$18*Supuestos!$B$19</f>
        <v>20000</v>
      </c>
      <c r="E67" s="9">
        <f>Supuestos!$B$18*Supuestos!$B$19</f>
        <v>20000</v>
      </c>
      <c r="F67" s="9">
        <f>Supuestos!$B$18*Supuestos!$B$19</f>
        <v>20000</v>
      </c>
    </row>
    <row r="68" spans="1:6" x14ac:dyDescent="0.25">
      <c r="A68" t="s">
        <v>145</v>
      </c>
      <c r="B68">
        <v>0</v>
      </c>
      <c r="C68">
        <v>0</v>
      </c>
      <c r="D68" s="9">
        <f>Supuestos!$B$20*2*Supuestos!$B$21*(1-Supuestos!$B$22)</f>
        <v>25600</v>
      </c>
      <c r="E68" s="9">
        <f>Supuestos!$B$20*2*Supuestos!$B$21*(1-Supuestos!$B$22)</f>
        <v>25600</v>
      </c>
      <c r="F68" s="9">
        <f>Supuestos!$B$20*2*Supuestos!$B$21*(1-Supuestos!$B$22)</f>
        <v>25600</v>
      </c>
    </row>
    <row r="69" spans="1:6" x14ac:dyDescent="0.25">
      <c r="A69" t="s">
        <v>146</v>
      </c>
      <c r="B69">
        <v>0</v>
      </c>
      <c r="C69">
        <v>0</v>
      </c>
      <c r="D69" s="9">
        <f>Supuestos!$B$23*Supuestos!$B$24</f>
        <v>50000</v>
      </c>
      <c r="E69" s="9">
        <f>0</f>
        <v>0</v>
      </c>
      <c r="F69" s="9">
        <f>0</f>
        <v>0</v>
      </c>
    </row>
    <row r="70" spans="1:6" x14ac:dyDescent="0.25">
      <c r="A70" t="s">
        <v>147</v>
      </c>
      <c r="B70">
        <v>0</v>
      </c>
      <c r="C70">
        <v>0</v>
      </c>
      <c r="D70" s="9">
        <f>D61*Supuestos!$B$25/1000*Supuestos!$B$26*Supuestos!$B$27</f>
        <v>16542.873</v>
      </c>
      <c r="E70" s="9">
        <f>E61*Supuestos!$B$25/1000*Supuestos!$B$26*Supuestos!$B$27</f>
        <v>19024.303949999998</v>
      </c>
      <c r="F70" s="9">
        <f>F61*Supuestos!$B$25/1000*Supuestos!$B$26*Supuestos!$B$27</f>
        <v>21877.949542499995</v>
      </c>
    </row>
    <row r="71" spans="1:6" x14ac:dyDescent="0.25">
      <c r="A71" t="s">
        <v>148</v>
      </c>
      <c r="B71">
        <v>0</v>
      </c>
      <c r="C71">
        <v>0</v>
      </c>
      <c r="D71" s="9">
        <f>(D63*Supuestos!$B$28+D64*Supuestos!$B$29)*Supuestos!$B$30*Supuestos!$B$31*Supuestos!$B$17</f>
        <v>1488.8585700000003</v>
      </c>
      <c r="E71" s="9">
        <f>(E63*Supuestos!$B$28+E64*Supuestos!$B$29)*Supuestos!$B$30*Supuestos!$B$31*Supuestos!$B$17</f>
        <v>2456.6166405</v>
      </c>
      <c r="F71" s="9">
        <f>(F63*Supuestos!$B$28+F64*Supuestos!$B$29)*Supuestos!$B$30*Supuestos!$B$31*Supuestos!$B$17</f>
        <v>3197.3237790749995</v>
      </c>
    </row>
    <row r="72" spans="1:6" s="8" customFormat="1" x14ac:dyDescent="0.25">
      <c r="A72" s="8" t="s">
        <v>149</v>
      </c>
      <c r="B72" s="8">
        <v>0</v>
      </c>
      <c r="C72" s="8">
        <v>0</v>
      </c>
      <c r="D72" s="10">
        <f>D65+D66+D67+D68+D69+D70+D71</f>
        <v>123860.741375</v>
      </c>
      <c r="E72" s="10">
        <f>E65+E66+E67+E68+E69+E70+E71</f>
        <v>83958.78676875</v>
      </c>
      <c r="F72" s="10">
        <f>F65+F66+F67+F68+F69+F70+F71</f>
        <v>92642.07187781249</v>
      </c>
    </row>
    <row r="73" spans="1:6" x14ac:dyDescent="0.25">
      <c r="A73" t="s">
        <v>150</v>
      </c>
      <c r="B73">
        <v>0</v>
      </c>
      <c r="C73">
        <v>0</v>
      </c>
      <c r="D73" s="9">
        <f>-Supuestos!$B$33*Supuestos!$B$44</f>
        <v>-140000</v>
      </c>
      <c r="E73" s="9">
        <f>-Supuestos!$B$33*Supuestos!$B$44</f>
        <v>-140000</v>
      </c>
      <c r="F73" s="9">
        <f>-Supuestos!$B$33*Supuestos!$B$44</f>
        <v>-140000</v>
      </c>
    </row>
    <row r="74" spans="1:6" x14ac:dyDescent="0.25">
      <c r="A74" t="s">
        <v>151</v>
      </c>
      <c r="B74">
        <v>0</v>
      </c>
      <c r="C74">
        <v>0</v>
      </c>
      <c r="D74" s="9">
        <f>-Supuestos!$B$34*Supuestos!$B$44</f>
        <v>-70000</v>
      </c>
      <c r="E74" s="9">
        <f>-Supuestos!$B$34*Supuestos!$B$44</f>
        <v>-70000</v>
      </c>
      <c r="F74" s="9">
        <f>-Supuestos!$B$34*Supuestos!$B$44</f>
        <v>-70000</v>
      </c>
    </row>
    <row r="75" spans="1:6" x14ac:dyDescent="0.25">
      <c r="A75" t="s">
        <v>152</v>
      </c>
      <c r="B75">
        <v>0</v>
      </c>
      <c r="C75">
        <v>0</v>
      </c>
      <c r="D75" s="9">
        <f>-Supuestos!$B$35*Supuestos!$B$44</f>
        <v>-70000</v>
      </c>
      <c r="E75" s="9">
        <f>-Supuestos!$B$35*Supuestos!$B$44</f>
        <v>-70000</v>
      </c>
      <c r="F75" s="9">
        <f>-Supuestos!$B$35*Supuestos!$B$44</f>
        <v>-70000</v>
      </c>
    </row>
    <row r="76" spans="1:6" x14ac:dyDescent="0.25">
      <c r="A76" t="s">
        <v>153</v>
      </c>
      <c r="B76">
        <v>0</v>
      </c>
      <c r="C76">
        <v>0</v>
      </c>
      <c r="D76" s="9">
        <f>-Supuestos!$B$36*Supuestos!$B$44</f>
        <v>-196000</v>
      </c>
      <c r="E76" s="9">
        <f>-Supuestos!$B$37*Supuestos!$B$44</f>
        <v>-28000</v>
      </c>
      <c r="F76" s="9">
        <f>-Supuestos!$B$37*Supuestos!$B$44</f>
        <v>-28000</v>
      </c>
    </row>
    <row r="77" spans="1:6" x14ac:dyDescent="0.25">
      <c r="A77" t="s">
        <v>154</v>
      </c>
      <c r="B77">
        <v>0</v>
      </c>
      <c r="C77">
        <v>0</v>
      </c>
      <c r="D77" s="9">
        <f>-Supuestos!$B$38*Supuestos!$B$44</f>
        <v>-84000</v>
      </c>
      <c r="E77" s="9">
        <f>-Supuestos!$B$39*Supuestos!$B$44</f>
        <v>-35000</v>
      </c>
      <c r="F77" s="9">
        <f>-Supuestos!$B$39*Supuestos!$B$44</f>
        <v>-35000</v>
      </c>
    </row>
    <row r="78" spans="1:6" x14ac:dyDescent="0.25">
      <c r="A78" t="s">
        <v>155</v>
      </c>
      <c r="B78">
        <v>0</v>
      </c>
      <c r="C78">
        <v>0</v>
      </c>
      <c r="D78" s="9">
        <f>-D64*Supuestos!$B$12</f>
        <v>-2757.1455000000005</v>
      </c>
      <c r="E78" s="9">
        <f>-E64*Supuestos!$B$12</f>
        <v>-4549.290075</v>
      </c>
      <c r="F78" s="9">
        <f>-F64*Supuestos!$B$12</f>
        <v>-5920.969961249999</v>
      </c>
    </row>
    <row r="79" spans="1:6" x14ac:dyDescent="0.25">
      <c r="A79" t="s">
        <v>156</v>
      </c>
      <c r="B79">
        <v>0</v>
      </c>
      <c r="C79">
        <v>0</v>
      </c>
      <c r="D79" s="9">
        <f>-Supuestos!$B$18*Supuestos!$B$41</f>
        <v>-40000</v>
      </c>
      <c r="E79" s="9">
        <f>0</f>
        <v>0</v>
      </c>
      <c r="F79" s="9">
        <f>0</f>
        <v>0</v>
      </c>
    </row>
    <row r="80" spans="1:6" x14ac:dyDescent="0.25">
      <c r="A80" t="s">
        <v>157</v>
      </c>
      <c r="B80">
        <v>0</v>
      </c>
      <c r="C80">
        <v>0</v>
      </c>
      <c r="D80" s="9">
        <f>0</f>
        <v>0</v>
      </c>
      <c r="E80" s="9">
        <f>0</f>
        <v>0</v>
      </c>
      <c r="F80" s="9">
        <f>0</f>
        <v>0</v>
      </c>
    </row>
    <row r="81" spans="1:6" s="8" customFormat="1" x14ac:dyDescent="0.25">
      <c r="A81" s="8" t="s">
        <v>158</v>
      </c>
      <c r="B81" s="8">
        <v>0</v>
      </c>
      <c r="C81" s="8">
        <v>0</v>
      </c>
      <c r="D81" s="10">
        <f>-(D73+D74+D75+D76+D77+D78+D79+D80)</f>
        <v>602757.1455</v>
      </c>
      <c r="E81" s="10">
        <f>-(E73+E74+E75+E76+E77+E78+E79+E80)</f>
        <v>347549.290075</v>
      </c>
      <c r="F81" s="10">
        <f>-(F73+F74+F75+F76+F77+F78+F79+F80)</f>
        <v>348920.96996125</v>
      </c>
    </row>
    <row r="82" spans="1:6" s="8" customFormat="1" x14ac:dyDescent="0.25">
      <c r="A82" s="8" t="s">
        <v>159</v>
      </c>
      <c r="B82" s="8">
        <v>0</v>
      </c>
      <c r="C82" s="8">
        <v>0</v>
      </c>
      <c r="D82" s="10">
        <f>D72-D81</f>
        <v>-478896.404125</v>
      </c>
      <c r="E82" s="10">
        <f>E72-E81</f>
        <v>-263590.50330625003</v>
      </c>
      <c r="F82" s="10">
        <f>F72-F81</f>
        <v>-256278.89808343753</v>
      </c>
    </row>
    <row r="83" spans="1:6" x14ac:dyDescent="0.25">
      <c r="A83" t="s">
        <v>160</v>
      </c>
      <c r="B83">
        <v>0</v>
      </c>
      <c r="C83">
        <v>0</v>
      </c>
      <c r="D83" s="9">
        <f>D82</f>
        <v>-478896.404125</v>
      </c>
      <c r="E83" s="9">
        <f>E82+D83</f>
        <v>-742486.90743125</v>
      </c>
      <c r="F83" s="9">
        <f>F82+E83</f>
        <v>-998765.8055146874</v>
      </c>
    </row>
    <row r="84" spans="1:1" x14ac:dyDescent="0.25">
      <c r="A84" s="2" t="s">
        <v>133</v>
      </c>
    </row>
    <row r="85" spans="1:6" x14ac:dyDescent="0.25">
      <c r="A85" t="s">
        <v>137</v>
      </c>
      <c r="B85">
        <v>0</v>
      </c>
      <c r="C85">
        <v>0</v>
      </c>
      <c r="D85">
        <v>0</v>
      </c>
      <c r="E85" s="9">
        <f>$B$6*Supuestos!$B$4</f>
        <v>360033.4</v>
      </c>
      <c r="F85" s="9">
        <f>$B$6*Supuestos!$B$4</f>
        <v>360033.4</v>
      </c>
    </row>
    <row r="86" spans="1:6" x14ac:dyDescent="0.25">
      <c r="A86" t="s">
        <v>138</v>
      </c>
      <c r="B86">
        <v>0</v>
      </c>
      <c r="C86">
        <v>0</v>
      </c>
      <c r="D86">
        <v>0</v>
      </c>
      <c r="E86" s="9">
        <f>MIN(E85*Supuestos!$B$5*$C$6*(1+Supuestos!$B$6)^0,E85*0.9)</f>
        <v>90008.35</v>
      </c>
      <c r="F86" s="9">
        <f>MIN(F85*Supuestos!$B$5*$C$6*(1+Supuestos!$B$6)^1,F85*0.9)</f>
        <v>103509.6025</v>
      </c>
    </row>
    <row r="87" spans="1:6" x14ac:dyDescent="0.25">
      <c r="A87" t="s">
        <v>139</v>
      </c>
      <c r="B87">
        <v>0</v>
      </c>
      <c r="C87">
        <v>0</v>
      </c>
      <c r="D87">
        <v>0</v>
      </c>
      <c r="E87" s="9">
        <f>E86*Supuestos!$B$8</f>
        <v>5400.501</v>
      </c>
      <c r="F87" s="9">
        <f>F86*Supuestos!$B$8</f>
        <v>6210.576149999999</v>
      </c>
    </row>
    <row r="88" spans="1:6" x14ac:dyDescent="0.25">
      <c r="A88" t="s">
        <v>140</v>
      </c>
      <c r="B88">
        <v>0</v>
      </c>
      <c r="C88">
        <v>0</v>
      </c>
      <c r="D88">
        <v>0</v>
      </c>
      <c r="E88" s="9">
        <f>E87</f>
        <v>5400.501</v>
      </c>
      <c r="F88" s="9">
        <f>F87+E88*Supuestos!$B$9</f>
        <v>8910.826649999999</v>
      </c>
    </row>
    <row r="89" spans="1:6" x14ac:dyDescent="0.25">
      <c r="A89" t="s">
        <v>141</v>
      </c>
      <c r="B89">
        <v>0</v>
      </c>
      <c r="C89">
        <v>0</v>
      </c>
      <c r="D89">
        <v>0</v>
      </c>
      <c r="E89" s="9">
        <f>E88*Supuestos!$B$10</f>
        <v>135.012525</v>
      </c>
      <c r="F89" s="9">
        <f>F88*Supuestos!$B$10</f>
        <v>222.77066624999998</v>
      </c>
    </row>
    <row r="90" spans="1:6" x14ac:dyDescent="0.25">
      <c r="A90" t="s">
        <v>142</v>
      </c>
      <c r="B90">
        <v>0</v>
      </c>
      <c r="C90">
        <v>0</v>
      </c>
      <c r="D90">
        <v>0</v>
      </c>
      <c r="E90" s="9">
        <f>E89*Supuestos!$B$11</f>
        <v>7425.688875000001</v>
      </c>
      <c r="F90" s="9">
        <f>F89*Supuestos!$B$11</f>
        <v>12252.386643749998</v>
      </c>
    </row>
    <row r="91" spans="1:6" x14ac:dyDescent="0.25">
      <c r="A91" t="s">
        <v>143</v>
      </c>
      <c r="B91">
        <v>0</v>
      </c>
      <c r="C91">
        <v>0</v>
      </c>
      <c r="D91">
        <v>0</v>
      </c>
      <c r="E91" s="9">
        <f>(E88*Supuestos!$B$14+E89*Supuestos!$B$15)*Supuestos!$B$16*Supuestos!$B$17</f>
        <v>2592.2404800000004</v>
      </c>
      <c r="F91" s="9">
        <f>(F88*Supuestos!$B$14+F89*Supuestos!$B$15)*Supuestos!$B$16*Supuestos!$B$17</f>
        <v>4277.196792000001</v>
      </c>
    </row>
    <row r="92" spans="1:6" x14ac:dyDescent="0.25">
      <c r="A92" t="s">
        <v>144</v>
      </c>
      <c r="B92">
        <v>0</v>
      </c>
      <c r="C92">
        <v>0</v>
      </c>
      <c r="D92">
        <v>0</v>
      </c>
      <c r="E92" s="9">
        <f>Supuestos!$B$18*Supuestos!$B$19</f>
        <v>20000</v>
      </c>
      <c r="F92" s="9">
        <f>Supuestos!$B$18*Supuestos!$B$19</f>
        <v>20000</v>
      </c>
    </row>
    <row r="93" spans="1:6" x14ac:dyDescent="0.25">
      <c r="A93" t="s">
        <v>145</v>
      </c>
      <c r="B93">
        <v>0</v>
      </c>
      <c r="C93">
        <v>0</v>
      </c>
      <c r="D93">
        <v>0</v>
      </c>
      <c r="E93" s="9">
        <f>Supuestos!$B$20*2*Supuestos!$B$21*(1-Supuestos!$B$22)</f>
        <v>25600</v>
      </c>
      <c r="F93" s="9">
        <f>Supuestos!$B$20*2*Supuestos!$B$21*(1-Supuestos!$B$22)</f>
        <v>25600</v>
      </c>
    </row>
    <row r="94" spans="1:6" x14ac:dyDescent="0.25">
      <c r="A94" t="s">
        <v>146</v>
      </c>
      <c r="B94">
        <v>0</v>
      </c>
      <c r="C94">
        <v>0</v>
      </c>
      <c r="D94">
        <v>0</v>
      </c>
      <c r="E94" s="9">
        <f>Supuestos!$B$23*Supuestos!$B$24</f>
        <v>50000</v>
      </c>
      <c r="F94" s="9">
        <f>0</f>
        <v>0</v>
      </c>
    </row>
    <row r="95" spans="1:6" x14ac:dyDescent="0.25">
      <c r="A95" t="s">
        <v>147</v>
      </c>
      <c r="B95">
        <v>0</v>
      </c>
      <c r="C95">
        <v>0</v>
      </c>
      <c r="D95">
        <v>0</v>
      </c>
      <c r="E95" s="9">
        <f>E86*Supuestos!$B$25/1000*Supuestos!$B$26*Supuestos!$B$27</f>
        <v>16201.503</v>
      </c>
      <c r="F95" s="9">
        <f>F86*Supuestos!$B$25/1000*Supuestos!$B$26*Supuestos!$B$27</f>
        <v>18631.72845</v>
      </c>
    </row>
    <row r="96" spans="1:6" x14ac:dyDescent="0.25">
      <c r="A96" t="s">
        <v>148</v>
      </c>
      <c r="B96">
        <v>0</v>
      </c>
      <c r="C96">
        <v>0</v>
      </c>
      <c r="D96">
        <v>0</v>
      </c>
      <c r="E96" s="9">
        <f>(E88*Supuestos!$B$28+E89*Supuestos!$B$29)*Supuestos!$B$30*Supuestos!$B$31*Supuestos!$B$17</f>
        <v>1458.1352700000004</v>
      </c>
      <c r="F96" s="9">
        <f>(F88*Supuestos!$B$28+F89*Supuestos!$B$29)*Supuestos!$B$30*Supuestos!$B$31*Supuestos!$B$17</f>
        <v>2405.9231955</v>
      </c>
    </row>
    <row r="97" spans="1:6" s="8" customFormat="1" x14ac:dyDescent="0.25">
      <c r="A97" s="8" t="s">
        <v>149</v>
      </c>
      <c r="B97" s="8">
        <v>0</v>
      </c>
      <c r="C97" s="8">
        <v>0</v>
      </c>
      <c r="D97" s="8">
        <v>0</v>
      </c>
      <c r="E97" s="10">
        <f>E90+E91+E92+E93+E94+E95+E96</f>
        <v>123277.567625</v>
      </c>
      <c r="F97" s="10">
        <f>F90+F91+F92+F93+F94+F95+F96</f>
        <v>83167.23508125</v>
      </c>
    </row>
    <row r="98" spans="1:6" x14ac:dyDescent="0.25">
      <c r="A98" t="s">
        <v>150</v>
      </c>
      <c r="B98">
        <v>0</v>
      </c>
      <c r="C98">
        <v>0</v>
      </c>
      <c r="D98">
        <v>0</v>
      </c>
      <c r="E98" s="9">
        <f>-Supuestos!$B$33*Supuestos!$B$44</f>
        <v>-140000</v>
      </c>
      <c r="F98" s="9">
        <f>-Supuestos!$B$33*Supuestos!$B$44</f>
        <v>-140000</v>
      </c>
    </row>
    <row r="99" spans="1:6" x14ac:dyDescent="0.25">
      <c r="A99" t="s">
        <v>151</v>
      </c>
      <c r="B99">
        <v>0</v>
      </c>
      <c r="C99">
        <v>0</v>
      </c>
      <c r="D99">
        <v>0</v>
      </c>
      <c r="E99" s="9">
        <f>-Supuestos!$B$34*Supuestos!$B$44</f>
        <v>-70000</v>
      </c>
      <c r="F99" s="9">
        <f>-Supuestos!$B$34*Supuestos!$B$44</f>
        <v>-70000</v>
      </c>
    </row>
    <row r="100" spans="1:6" x14ac:dyDescent="0.25">
      <c r="A100" t="s">
        <v>152</v>
      </c>
      <c r="B100">
        <v>0</v>
      </c>
      <c r="C100">
        <v>0</v>
      </c>
      <c r="D100">
        <v>0</v>
      </c>
      <c r="E100" s="9">
        <f>-Supuestos!$B$35*Supuestos!$B$44</f>
        <v>-70000</v>
      </c>
      <c r="F100" s="9">
        <f>-Supuestos!$B$35*Supuestos!$B$44</f>
        <v>-70000</v>
      </c>
    </row>
    <row r="101" spans="1:6" x14ac:dyDescent="0.25">
      <c r="A101" t="s">
        <v>153</v>
      </c>
      <c r="B101">
        <v>0</v>
      </c>
      <c r="C101">
        <v>0</v>
      </c>
      <c r="D101">
        <v>0</v>
      </c>
      <c r="E101" s="9">
        <f>-Supuestos!$B$36*Supuestos!$B$44</f>
        <v>-196000</v>
      </c>
      <c r="F101" s="9">
        <f>-Supuestos!$B$37*Supuestos!$B$44</f>
        <v>-28000</v>
      </c>
    </row>
    <row r="102" spans="1:6" x14ac:dyDescent="0.25">
      <c r="A102" t="s">
        <v>154</v>
      </c>
      <c r="B102">
        <v>0</v>
      </c>
      <c r="C102">
        <v>0</v>
      </c>
      <c r="D102">
        <v>0</v>
      </c>
      <c r="E102" s="9">
        <f>-Supuestos!$B$38*Supuestos!$B$44</f>
        <v>-84000</v>
      </c>
      <c r="F102" s="9">
        <f>-Supuestos!$B$39*Supuestos!$B$44</f>
        <v>-35000</v>
      </c>
    </row>
    <row r="103" spans="1:6" x14ac:dyDescent="0.25">
      <c r="A103" t="s">
        <v>155</v>
      </c>
      <c r="B103">
        <v>0</v>
      </c>
      <c r="C103">
        <v>0</v>
      </c>
      <c r="D103">
        <v>0</v>
      </c>
      <c r="E103" s="9">
        <f>-E89*Supuestos!$B$12</f>
        <v>-2700.2505</v>
      </c>
      <c r="F103" s="9">
        <f>-F89*Supuestos!$B$12</f>
        <v>-4455.4133249999995</v>
      </c>
    </row>
    <row r="104" spans="1:6" x14ac:dyDescent="0.25">
      <c r="A104" t="s">
        <v>156</v>
      </c>
      <c r="B104">
        <v>0</v>
      </c>
      <c r="C104">
        <v>0</v>
      </c>
      <c r="D104">
        <v>0</v>
      </c>
      <c r="E104" s="9">
        <f>-Supuestos!$B$18*Supuestos!$B$41</f>
        <v>-40000</v>
      </c>
      <c r="F104" s="9">
        <f>0</f>
        <v>0</v>
      </c>
    </row>
    <row r="105" spans="1:6" x14ac:dyDescent="0.25">
      <c r="A105" t="s">
        <v>157</v>
      </c>
      <c r="B105">
        <v>0</v>
      </c>
      <c r="C105">
        <v>0</v>
      </c>
      <c r="D105">
        <v>0</v>
      </c>
      <c r="E105" s="9">
        <f>0</f>
        <v>0</v>
      </c>
      <c r="F105" s="9">
        <f>0</f>
        <v>0</v>
      </c>
    </row>
    <row r="106" spans="1:6" s="8" customFormat="1" x14ac:dyDescent="0.25">
      <c r="A106" s="8" t="s">
        <v>158</v>
      </c>
      <c r="B106" s="8">
        <v>0</v>
      </c>
      <c r="C106" s="8">
        <v>0</v>
      </c>
      <c r="D106" s="8">
        <v>0</v>
      </c>
      <c r="E106" s="10">
        <f>-(E98+E99+E100+E101+E102+E103+E104+E105)</f>
        <v>602700.2505</v>
      </c>
      <c r="F106" s="10">
        <f>-(F98+F99+F100+F101+F102+F103+F104+F105)</f>
        <v>347455.413325</v>
      </c>
    </row>
    <row r="107" spans="1:6" s="8" customFormat="1" x14ac:dyDescent="0.25">
      <c r="A107" s="8" t="s">
        <v>159</v>
      </c>
      <c r="B107" s="8">
        <v>0</v>
      </c>
      <c r="C107" s="8">
        <v>0</v>
      </c>
      <c r="D107" s="8">
        <v>0</v>
      </c>
      <c r="E107" s="10">
        <f>E97-E106</f>
        <v>-479422.68287499994</v>
      </c>
      <c r="F107" s="10">
        <f>F97-F106</f>
        <v>-264288.17824375</v>
      </c>
    </row>
    <row r="108" spans="1:6" x14ac:dyDescent="0.25">
      <c r="A108" t="s">
        <v>160</v>
      </c>
      <c r="B108">
        <v>0</v>
      </c>
      <c r="C108">
        <v>0</v>
      </c>
      <c r="D108">
        <v>0</v>
      </c>
      <c r="E108" s="9">
        <f>E107</f>
        <v>-479422.68287499994</v>
      </c>
      <c r="F108" s="9">
        <f>F107+E108</f>
        <v>-743710.86111875</v>
      </c>
    </row>
    <row r="109" spans="1:6" s="8" customFormat="1" x14ac:dyDescent="0.25">
      <c r="A109" s="8" t="s">
        <v>161</v>
      </c>
      <c r="B109" s="10">
        <f>B22+B47+B72+B97</f>
        <v>125467.22899999999</v>
      </c>
      <c r="C109" s="10">
        <f>C22+C47+C72+C97</f>
        <v>231513.1871</v>
      </c>
      <c r="D109" s="10">
        <f>D22+D47+D72+D97</f>
        <v>332335.876415</v>
      </c>
      <c r="E109" s="10">
        <f>E22+E47+E72+E97</f>
        <v>440010.24462725</v>
      </c>
      <c r="F109" s="10">
        <f>F22+F47+F72+F97</f>
        <v>433173.0231963375</v>
      </c>
    </row>
    <row r="110" spans="1:6" s="8" customFormat="1" x14ac:dyDescent="0.25">
      <c r="A110" s="8" t="s">
        <v>162</v>
      </c>
      <c r="B110" s="10">
        <f>B31+B56+B81+B106</f>
        <v>882913.876</v>
      </c>
      <c r="C110" s="10">
        <f>C31+C56+C81+C106</f>
        <v>1339663.8843999999</v>
      </c>
      <c r="D110" s="10">
        <f>D31+D56+D81+D106</f>
        <v>1597027.0760599999</v>
      </c>
      <c r="E110" s="10">
        <f>E31+E56+E81+E106</f>
        <v>1948238.192469</v>
      </c>
      <c r="F110" s="10">
        <f>F31+F56+F81+F106</f>
        <v>1697852.4488393501</v>
      </c>
    </row>
    <row r="111" spans="1:6" x14ac:dyDescent="0.25">
      <c r="A111" t="s">
        <v>163</v>
      </c>
      <c r="B111" s="9">
        <f>B13+B38+B63+B88</f>
        <v>5827.752</v>
      </c>
      <c r="C111" s="9">
        <f>C13+C38+C63+C88</f>
        <v>19327.768799999998</v>
      </c>
      <c r="D111" s="9">
        <f>D13+D38+D63+D88</f>
        <v>34054.15212</v>
      </c>
      <c r="E111" s="9">
        <f>E13+E38+E63+E88</f>
        <v>50476.384938</v>
      </c>
      <c r="F111" s="9">
        <f>F13+F38+F63+F88</f>
        <v>63704.8976787</v>
      </c>
    </row>
    <row r="112" spans="1:6" s="8" customFormat="1" x14ac:dyDescent="0.25">
      <c r="A112" s="8" t="s">
        <v>164</v>
      </c>
      <c r="B112" s="10">
        <f>B109-B110</f>
        <v>-757446.6470000001</v>
      </c>
      <c r="C112" s="10">
        <f>C109-C110</f>
        <v>-1108150.6972999999</v>
      </c>
      <c r="D112" s="10">
        <f>D109-D110</f>
        <v>-1264691.1996449998</v>
      </c>
      <c r="E112" s="10">
        <f>E109-E110</f>
        <v>-1508227.94784175</v>
      </c>
      <c r="F112" s="10">
        <f>F109-F110</f>
        <v>-1264679.4256430126</v>
      </c>
    </row>
    <row r="113" spans="1:6" x14ac:dyDescent="0.25">
      <c r="A113" t="s">
        <v>165</v>
      </c>
      <c r="B113" s="9">
        <f>B112</f>
        <v>-757446.6470000001</v>
      </c>
      <c r="C113" s="9">
        <f>C112+B113</f>
        <v>-1865597.3443</v>
      </c>
      <c r="D113" s="9">
        <f>D112+C113</f>
        <v>-3130288.5439449996</v>
      </c>
      <c r="E113" s="9">
        <f>E112+D113</f>
        <v>-4638516.49178675</v>
      </c>
      <c r="F113" s="9">
        <f>F112+E113</f>
        <v>-5903195.917429763</v>
      </c>
    </row>
    <row r="115" spans="1:6" x14ac:dyDescent="0.25">
      <c r="A115" s="1" t="s">
        <v>166</v>
      </c>
      <c r="B115" s="1" t="s">
        <v>96</v>
      </c>
      <c r="C115" s="1" t="s">
        <v>97</v>
      </c>
      <c r="D115" s="1" t="s">
        <v>98</v>
      </c>
      <c r="E115" s="1" t="s">
        <v>135</v>
      </c>
      <c r="F115" s="1" t="s">
        <v>136</v>
      </c>
    </row>
    <row r="116" spans="1:1" x14ac:dyDescent="0.25">
      <c r="A116" s="2" t="s">
        <v>129</v>
      </c>
    </row>
    <row r="117" spans="1:6" x14ac:dyDescent="0.25">
      <c r="A117" t="s">
        <v>137</v>
      </c>
      <c r="B117" s="9">
        <f>$B$3*Supuestos!$C$4</f>
        <v>582775.2</v>
      </c>
      <c r="C117" s="9">
        <f>$B$3*Supuestos!$C$4</f>
        <v>582775.2</v>
      </c>
      <c r="D117" s="9">
        <f>$B$3*Supuestos!$C$4</f>
        <v>582775.2</v>
      </c>
      <c r="E117" s="9">
        <f>$B$3*Supuestos!$C$4</f>
        <v>582775.2</v>
      </c>
      <c r="F117" s="9">
        <f>$B$3*Supuestos!$C$4</f>
        <v>582775.2</v>
      </c>
    </row>
    <row r="118" spans="1:6" x14ac:dyDescent="0.25">
      <c r="A118" t="s">
        <v>138</v>
      </c>
      <c r="B118" s="9">
        <f>MIN(B117*Supuestos!$C$5*$C$3*(1+Supuestos!$C$6)^0,B117*0.9)</f>
        <v>203971.31999999998</v>
      </c>
      <c r="C118" s="9">
        <f>MIN(C117*Supuestos!$C$5*$C$3*(1+Supuestos!$C$6)^1,C117*0.9)</f>
        <v>254964.14999999997</v>
      </c>
      <c r="D118" s="9">
        <f>MIN(D117*Supuestos!$C$5*$C$3*(1+Supuestos!$C$6)^2,D117*0.9)</f>
        <v>318705.18749999994</v>
      </c>
      <c r="E118" s="9">
        <f>MIN(E117*Supuestos!$C$5*$C$3*(1+Supuestos!$C$6)^3,E117*0.9)</f>
        <v>398381.48437499994</v>
      </c>
      <c r="F118" s="9">
        <f>MIN(F117*Supuestos!$C$5*$C$3*(1+Supuestos!$C$6)^4,F117*0.9)</f>
        <v>497976.85546874994</v>
      </c>
    </row>
    <row r="119" spans="1:6" x14ac:dyDescent="0.25">
      <c r="A119" t="s">
        <v>139</v>
      </c>
      <c r="B119" s="9">
        <f>B118*Supuestos!$C$8</f>
        <v>18357.418799999996</v>
      </c>
      <c r="C119" s="9">
        <f>C118*Supuestos!$C$8</f>
        <v>22946.773499999996</v>
      </c>
      <c r="D119" s="9">
        <f>D118*Supuestos!$C$8</f>
        <v>28683.466874999995</v>
      </c>
      <c r="E119" s="9">
        <f>E118*Supuestos!$C$8</f>
        <v>35854.333593749994</v>
      </c>
      <c r="F119" s="9">
        <f>F118*Supuestos!$C$8</f>
        <v>44817.91699218749</v>
      </c>
    </row>
    <row r="120" spans="1:6" x14ac:dyDescent="0.25">
      <c r="A120" t="s">
        <v>140</v>
      </c>
      <c r="B120" s="9">
        <f>B119</f>
        <v>18357.418799999996</v>
      </c>
      <c r="C120" s="9">
        <f>C119+B120*Supuestos!$C$9</f>
        <v>33961.22477999999</v>
      </c>
      <c r="D120" s="9">
        <f>D119+C120*Supuestos!$C$9</f>
        <v>49060.20174299998</v>
      </c>
      <c r="E120" s="9">
        <f>E119+D120*Supuestos!$C$9</f>
        <v>65290.45463954998</v>
      </c>
      <c r="F120" s="9">
        <f>F119+E120*Supuestos!$C$9</f>
        <v>83992.18977591748</v>
      </c>
    </row>
    <row r="121" spans="1:6" x14ac:dyDescent="0.25">
      <c r="A121" t="s">
        <v>141</v>
      </c>
      <c r="B121" s="9">
        <f>B120*Supuestos!$C$10</f>
        <v>734.2967519999999</v>
      </c>
      <c r="C121" s="9">
        <f>C120*Supuestos!$C$10</f>
        <v>1358.4489911999997</v>
      </c>
      <c r="D121" s="9">
        <f>D120*Supuestos!$C$10</f>
        <v>1962.4080697199993</v>
      </c>
      <c r="E121" s="9">
        <f>E120*Supuestos!$C$10</f>
        <v>2611.618185581999</v>
      </c>
      <c r="F121" s="9">
        <f>F120*Supuestos!$C$10</f>
        <v>3359.687591036699</v>
      </c>
    </row>
    <row r="122" spans="1:6" x14ac:dyDescent="0.25">
      <c r="A122" t="s">
        <v>142</v>
      </c>
      <c r="B122" s="9">
        <f>B121*Supuestos!$C$11</f>
        <v>45526.398623999994</v>
      </c>
      <c r="C122" s="9">
        <f>C121*Supuestos!$C$11</f>
        <v>84223.83745439998</v>
      </c>
      <c r="D122" s="9">
        <f>D121*Supuestos!$C$11</f>
        <v>121669.30032263996</v>
      </c>
      <c r="E122" s="9">
        <f>E121*Supuestos!$C$11</f>
        <v>161920.32750608394</v>
      </c>
      <c r="F122" s="9">
        <f>F121*Supuestos!$C$11</f>
        <v>208300.63064427534</v>
      </c>
    </row>
    <row r="123" spans="1:6" x14ac:dyDescent="0.25">
      <c r="A123" t="s">
        <v>143</v>
      </c>
      <c r="B123" s="9">
        <f>(B120*Supuestos!$C$14+B121*Supuestos!$C$15)*Supuestos!$C$16*Supuestos!$C$17</f>
        <v>21368.035483199998</v>
      </c>
      <c r="C123" s="9">
        <f>(C120*Supuestos!$C$14+C121*Supuestos!$C$15)*Supuestos!$C$16*Supuestos!$C$17</f>
        <v>39530.865643919984</v>
      </c>
      <c r="D123" s="9">
        <f>(D120*Supuestos!$C$14+D121*Supuestos!$C$15)*Supuestos!$C$16*Supuestos!$C$17</f>
        <v>57106.07482885198</v>
      </c>
      <c r="E123" s="9">
        <f>(E120*Supuestos!$C$14+E121*Supuestos!$C$15)*Supuestos!$C$16*Supuestos!$C$17</f>
        <v>75998.08920043618</v>
      </c>
      <c r="F123" s="9">
        <f>(F120*Supuestos!$C$14+F121*Supuestos!$C$15)*Supuestos!$C$16*Supuestos!$C$17</f>
        <v>97766.90889916795</v>
      </c>
    </row>
    <row r="124" spans="1:6" x14ac:dyDescent="0.25">
      <c r="A124" t="s">
        <v>144</v>
      </c>
      <c r="B124" s="9">
        <f>Supuestos!$C$18*Supuestos!$C$19</f>
        <v>45000</v>
      </c>
      <c r="C124" s="9">
        <f>Supuestos!$C$18*Supuestos!$C$19</f>
        <v>45000</v>
      </c>
      <c r="D124" s="9">
        <f>Supuestos!$C$18*Supuestos!$C$19</f>
        <v>45000</v>
      </c>
      <c r="E124" s="9">
        <f>Supuestos!$C$18*Supuestos!$C$19</f>
        <v>45000</v>
      </c>
      <c r="F124" s="9">
        <f>Supuestos!$C$18*Supuestos!$C$19</f>
        <v>45000</v>
      </c>
    </row>
    <row r="125" spans="1:6" x14ac:dyDescent="0.25">
      <c r="A125" t="s">
        <v>145</v>
      </c>
      <c r="B125" s="9">
        <f>Supuestos!$C$20*2*Supuestos!$C$21*(1-Supuestos!$C$22)</f>
        <v>57600</v>
      </c>
      <c r="C125" s="9">
        <f>Supuestos!$C$20*2*Supuestos!$C$21*(1-Supuestos!$C$22)</f>
        <v>57600</v>
      </c>
      <c r="D125" s="9">
        <f>Supuestos!$C$20*2*Supuestos!$C$21*(1-Supuestos!$C$22)</f>
        <v>57600</v>
      </c>
      <c r="E125" s="9">
        <f>Supuestos!$C$20*2*Supuestos!$C$21*(1-Supuestos!$C$22)</f>
        <v>57600</v>
      </c>
      <c r="F125" s="9">
        <f>Supuestos!$C$20*2*Supuestos!$C$21*(1-Supuestos!$C$22)</f>
        <v>57600</v>
      </c>
    </row>
    <row r="126" spans="1:6" x14ac:dyDescent="0.25">
      <c r="A126" t="s">
        <v>146</v>
      </c>
      <c r="B126" s="9">
        <f>Supuestos!$C$23*Supuestos!$C$24</f>
        <v>120000</v>
      </c>
      <c r="C126" s="9">
        <f>0</f>
        <v>0</v>
      </c>
      <c r="D126" s="9">
        <f>0</f>
        <v>0</v>
      </c>
      <c r="E126" s="9">
        <f>0</f>
        <v>0</v>
      </c>
      <c r="F126" s="9">
        <f>0</f>
        <v>0</v>
      </c>
    </row>
    <row r="127" spans="1:6" x14ac:dyDescent="0.25">
      <c r="A127" t="s">
        <v>147</v>
      </c>
      <c r="B127" s="9">
        <f>B118*Supuestos!$C$25/1000*Supuestos!$C$26*Supuestos!$C$27</f>
        <v>68534.36352</v>
      </c>
      <c r="C127" s="9">
        <f>C118*Supuestos!$C$25/1000*Supuestos!$C$26*Supuestos!$C$27</f>
        <v>85667.95439999999</v>
      </c>
      <c r="D127" s="9">
        <f>D118*Supuestos!$C$25/1000*Supuestos!$C$26*Supuestos!$C$27</f>
        <v>107084.94299999997</v>
      </c>
      <c r="E127" s="9">
        <f>E118*Supuestos!$C$25/1000*Supuestos!$C$26*Supuestos!$C$27</f>
        <v>133856.17875</v>
      </c>
      <c r="F127" s="9">
        <f>F118*Supuestos!$C$25/1000*Supuestos!$C$26*Supuestos!$C$27</f>
        <v>167320.22343749995</v>
      </c>
    </row>
    <row r="128" spans="1:6" x14ac:dyDescent="0.25">
      <c r="A128" t="s">
        <v>148</v>
      </c>
      <c r="B128" s="9">
        <f>(B120*Supuestos!$C$28+B121*Supuestos!$C$29)*Supuestos!$C$30*Supuestos!$C$31*Supuestos!$C$17</f>
        <v>17347.760765999996</v>
      </c>
      <c r="C128" s="9">
        <f>(C120*Supuestos!$C$28+C121*Supuestos!$C$29)*Supuestos!$C$30*Supuestos!$C$31*Supuestos!$C$17</f>
        <v>32093.357417099993</v>
      </c>
      <c r="D128" s="9">
        <f>(D120*Supuestos!$C$28+D121*Supuestos!$C$29)*Supuestos!$C$30*Supuestos!$C$31*Supuestos!$C$17</f>
        <v>46361.890647134984</v>
      </c>
      <c r="E128" s="9">
        <f>(E120*Supuestos!$C$28+E121*Supuestos!$C$29)*Supuestos!$C$30*Supuestos!$C$31*Supuestos!$C$17</f>
        <v>61699.47963437472</v>
      </c>
      <c r="F128" s="9">
        <f>(F120*Supuestos!$C$28+F121*Supuestos!$C$29)*Supuestos!$C$30*Supuestos!$C$31*Supuestos!$C$17</f>
        <v>79372.619338242</v>
      </c>
    </row>
    <row r="129" spans="1:6" s="8" customFormat="1" x14ac:dyDescent="0.25">
      <c r="A129" s="8" t="s">
        <v>149</v>
      </c>
      <c r="B129" s="10">
        <f>B122+B123+B124+B125+B126+B127+B128</f>
        <v>375376.55839320004</v>
      </c>
      <c r="C129" s="10">
        <f>C122+C123+C124+C125+C126+C127+C128</f>
        <v>344116.01491542</v>
      </c>
      <c r="D129" s="10">
        <f>D122+D123+D124+D125+D126+D127+D128</f>
        <v>434822.2087986269</v>
      </c>
      <c r="E129" s="10">
        <f>E122+E123+E124+E125+E126+E127+E128</f>
        <v>536074.0750908948</v>
      </c>
      <c r="F129" s="10">
        <f>F122+F123+F124+F125+F126+F127+F128</f>
        <v>655360.3823191853</v>
      </c>
    </row>
    <row r="130" spans="1:6" x14ac:dyDescent="0.25">
      <c r="A130" t="s">
        <v>150</v>
      </c>
      <c r="B130" s="9">
        <f>-Supuestos!$C$33*1</f>
        <v>-200000</v>
      </c>
      <c r="C130" s="9">
        <f>-Supuestos!$C$33*1</f>
        <v>-200000</v>
      </c>
      <c r="D130" s="9">
        <f>-Supuestos!$C$33*1</f>
        <v>-200000</v>
      </c>
      <c r="E130" s="9">
        <f>-Supuestos!$C$33*1</f>
        <v>-200000</v>
      </c>
      <c r="F130" s="9">
        <f>-Supuestos!$C$33*1</f>
        <v>-200000</v>
      </c>
    </row>
    <row r="131" spans="1:6" x14ac:dyDescent="0.25">
      <c r="A131" t="s">
        <v>151</v>
      </c>
      <c r="B131" s="9">
        <f>-Supuestos!$C$34*1</f>
        <v>-100000</v>
      </c>
      <c r="C131" s="9">
        <f>-Supuestos!$C$34*1</f>
        <v>-100000</v>
      </c>
      <c r="D131" s="9">
        <f>-Supuestos!$C$34*1</f>
        <v>-100000</v>
      </c>
      <c r="E131" s="9">
        <f>-Supuestos!$C$34*1</f>
        <v>-100000</v>
      </c>
      <c r="F131" s="9">
        <f>-Supuestos!$C$34*1</f>
        <v>-100000</v>
      </c>
    </row>
    <row r="132" spans="1:6" x14ac:dyDescent="0.25">
      <c r="A132" t="s">
        <v>152</v>
      </c>
      <c r="B132" s="9">
        <f>-Supuestos!$C$35*1</f>
        <v>-100000</v>
      </c>
      <c r="C132" s="9">
        <f>-Supuestos!$C$35*1</f>
        <v>-100000</v>
      </c>
      <c r="D132" s="9">
        <f>-Supuestos!$C$35*1</f>
        <v>-100000</v>
      </c>
      <c r="E132" s="9">
        <f>-Supuestos!$C$35*1</f>
        <v>-100000</v>
      </c>
      <c r="F132" s="9">
        <f>-Supuestos!$C$35*1</f>
        <v>-100000</v>
      </c>
    </row>
    <row r="133" spans="1:6" x14ac:dyDescent="0.25">
      <c r="A133" t="s">
        <v>153</v>
      </c>
      <c r="B133" s="9">
        <f>-Supuestos!$C$36*1</f>
        <v>-280000</v>
      </c>
      <c r="C133" s="9">
        <f>-Supuestos!$C$37*1</f>
        <v>-40000</v>
      </c>
      <c r="D133" s="9">
        <f>-Supuestos!$C$37*1</f>
        <v>-40000</v>
      </c>
      <c r="E133" s="9">
        <f>-Supuestos!$C$37*1</f>
        <v>-40000</v>
      </c>
      <c r="F133" s="9">
        <f>-Supuestos!$C$37*1</f>
        <v>-40000</v>
      </c>
    </row>
    <row r="134" spans="1:6" x14ac:dyDescent="0.25">
      <c r="A134" t="s">
        <v>154</v>
      </c>
      <c r="B134" s="9">
        <f>-Supuestos!$C$38*1</f>
        <v>-120000</v>
      </c>
      <c r="C134" s="9">
        <f>-Supuestos!$C$39*1</f>
        <v>-50000</v>
      </c>
      <c r="D134" s="9">
        <f>-Supuestos!$C$39*1</f>
        <v>-50000</v>
      </c>
      <c r="E134" s="9">
        <f>-Supuestos!$C$39*1</f>
        <v>-50000</v>
      </c>
      <c r="F134" s="9">
        <f>-Supuestos!$C$39*1</f>
        <v>-50000</v>
      </c>
    </row>
    <row r="135" spans="1:6" x14ac:dyDescent="0.25">
      <c r="A135" t="s">
        <v>155</v>
      </c>
      <c r="B135" s="9">
        <f>-B121*Supuestos!$C$12</f>
        <v>-13217.341535999998</v>
      </c>
      <c r="C135" s="9">
        <f>-C121*Supuestos!$C$12</f>
        <v>-24452.081841599993</v>
      </c>
      <c r="D135" s="9">
        <f>-D121*Supuestos!$C$12</f>
        <v>-35323.34525495999</v>
      </c>
      <c r="E135" s="9">
        <f>-E121*Supuestos!$C$12</f>
        <v>-47009.127340475985</v>
      </c>
      <c r="F135" s="9">
        <f>-F121*Supuestos!$C$12</f>
        <v>-60474.37663866058</v>
      </c>
    </row>
    <row r="136" spans="1:6" x14ac:dyDescent="0.25">
      <c r="A136" t="s">
        <v>156</v>
      </c>
      <c r="B136" s="9">
        <f>-Supuestos!$C$18*Supuestos!$C$41</f>
        <v>-60000</v>
      </c>
      <c r="C136" s="9">
        <f>0</f>
        <v>0</v>
      </c>
      <c r="D136" s="9">
        <f>0</f>
        <v>0</v>
      </c>
      <c r="E136" s="9">
        <f>0</f>
        <v>0</v>
      </c>
      <c r="F136" s="9">
        <f>0</f>
        <v>0</v>
      </c>
    </row>
    <row r="137" spans="1:6" x14ac:dyDescent="0.25">
      <c r="A137" t="s">
        <v>157</v>
      </c>
      <c r="B137" s="9">
        <f>-Supuestos!$C$40</f>
        <v>-40000</v>
      </c>
      <c r="C137" s="9">
        <f>0</f>
        <v>0</v>
      </c>
      <c r="D137" s="9">
        <f>0</f>
        <v>0</v>
      </c>
      <c r="E137" s="9">
        <f>0</f>
        <v>0</v>
      </c>
      <c r="F137" s="9">
        <f>0</f>
        <v>0</v>
      </c>
    </row>
    <row r="138" spans="1:6" s="8" customFormat="1" x14ac:dyDescent="0.25">
      <c r="A138" s="8" t="s">
        <v>158</v>
      </c>
      <c r="B138" s="10">
        <f>-(B130+B131+B132+B133+B134+B135+B136+B137)</f>
        <v>913217.341536</v>
      </c>
      <c r="C138" s="10">
        <f>-(C130+C131+C132+C133+C134+C135+C136+C137)</f>
        <v>514452.0818416</v>
      </c>
      <c r="D138" s="10">
        <f>-(D130+D131+D132+D133+D134+D135+D136+D137)</f>
        <v>525323.34525496</v>
      </c>
      <c r="E138" s="10">
        <f>-(E130+E131+E132+E133+E134+E135+E136+E137)</f>
        <v>537009.127340476</v>
      </c>
      <c r="F138" s="10">
        <f>-(F130+F131+F132+F133+F134+F135+F136+F137)</f>
        <v>550474.3766386606</v>
      </c>
    </row>
    <row r="139" spans="1:6" s="8" customFormat="1" x14ac:dyDescent="0.25">
      <c r="A139" s="8" t="s">
        <v>159</v>
      </c>
      <c r="B139" s="10">
        <f>B129-B138</f>
        <v>-537840.7831428</v>
      </c>
      <c r="C139" s="10">
        <f>C129-C138</f>
        <v>-170336.06692618004</v>
      </c>
      <c r="D139" s="10">
        <f>D129-D138</f>
        <v>-90501.1364563331</v>
      </c>
      <c r="E139" s="10">
        <f>E129-E138</f>
        <v>-935.0522495812038</v>
      </c>
      <c r="F139" s="10">
        <f>F129-F138</f>
        <v>104886.00568052474</v>
      </c>
    </row>
    <row r="140" spans="1:6" x14ac:dyDescent="0.25">
      <c r="A140" t="s">
        <v>160</v>
      </c>
      <c r="B140" s="9">
        <f>B139</f>
        <v>-537840.7831428</v>
      </c>
      <c r="C140" s="9">
        <f>C139+B140</f>
        <v>-708176.85006898</v>
      </c>
      <c r="D140" s="9">
        <f>D139+C140</f>
        <v>-798677.9865253131</v>
      </c>
      <c r="E140" s="9">
        <f>E139+D140</f>
        <v>-799613.0387748943</v>
      </c>
      <c r="F140" s="9">
        <f>F139+E140</f>
        <v>-694727.0330943696</v>
      </c>
    </row>
    <row r="141" spans="1:1" x14ac:dyDescent="0.25">
      <c r="A141" s="2" t="s">
        <v>130</v>
      </c>
    </row>
    <row r="142" spans="1:6" x14ac:dyDescent="0.25">
      <c r="A142" t="s">
        <v>137</v>
      </c>
      <c r="B142">
        <v>0</v>
      </c>
      <c r="C142" s="9">
        <f>$B$4*Supuestos!$C$4</f>
        <v>1942395.5999999999</v>
      </c>
      <c r="D142" s="9">
        <f>$B$4*Supuestos!$C$4</f>
        <v>1942395.5999999999</v>
      </c>
      <c r="E142" s="9">
        <f>$B$4*Supuestos!$C$4</f>
        <v>1942395.5999999999</v>
      </c>
      <c r="F142" s="9">
        <f>$B$4*Supuestos!$C$4</f>
        <v>1942395.5999999999</v>
      </c>
    </row>
    <row r="143" spans="1:6" x14ac:dyDescent="0.25">
      <c r="A143" t="s">
        <v>138</v>
      </c>
      <c r="B143">
        <v>0</v>
      </c>
      <c r="C143" s="9">
        <f>MIN(C142*Supuestos!$C$5*$C$4*(1+Supuestos!$C$6)^0,C142*0.9)</f>
        <v>339919.23</v>
      </c>
      <c r="D143" s="9">
        <f>MIN(D142*Supuestos!$C$5*$C$4*(1+Supuestos!$C$6)^1,D142*0.9)</f>
        <v>424899.0375</v>
      </c>
      <c r="E143" s="9">
        <f>MIN(E142*Supuestos!$C$5*$C$4*(1+Supuestos!$C$6)^2,E142*0.9)</f>
        <v>531123.796875</v>
      </c>
      <c r="F143" s="9">
        <f>MIN(F142*Supuestos!$C$5*$C$4*(1+Supuestos!$C$6)^3,F142*0.9)</f>
        <v>663904.74609375</v>
      </c>
    </row>
    <row r="144" spans="1:6" x14ac:dyDescent="0.25">
      <c r="A144" t="s">
        <v>139</v>
      </c>
      <c r="B144">
        <v>0</v>
      </c>
      <c r="C144" s="9">
        <f>C143*Supuestos!$C$8</f>
        <v>30592.730699999996</v>
      </c>
      <c r="D144" s="9">
        <f>D143*Supuestos!$C$8</f>
        <v>38240.913375</v>
      </c>
      <c r="E144" s="9">
        <f>E143*Supuestos!$C$8</f>
        <v>47801.14171875</v>
      </c>
      <c r="F144" s="9">
        <f>F143*Supuestos!$C$8</f>
        <v>59751.4271484375</v>
      </c>
    </row>
    <row r="145" spans="1:6" x14ac:dyDescent="0.25">
      <c r="A145" t="s">
        <v>140</v>
      </c>
      <c r="B145">
        <v>0</v>
      </c>
      <c r="C145" s="9">
        <f>C144</f>
        <v>30592.730699999996</v>
      </c>
      <c r="D145" s="9">
        <f>D144+C145*Supuestos!$C$9</f>
        <v>56596.55179499999</v>
      </c>
      <c r="E145" s="9">
        <f>E144+D145*Supuestos!$C$9</f>
        <v>81759.07279574999</v>
      </c>
      <c r="F145" s="9">
        <f>F144+E145*Supuestos!$C$9</f>
        <v>108806.87082588748</v>
      </c>
    </row>
    <row r="146" spans="1:6" x14ac:dyDescent="0.25">
      <c r="A146" t="s">
        <v>141</v>
      </c>
      <c r="B146">
        <v>0</v>
      </c>
      <c r="C146" s="9">
        <f>C145*Supuestos!$C$10</f>
        <v>1223.709228</v>
      </c>
      <c r="D146" s="9">
        <f>D145*Supuestos!$C$10</f>
        <v>2263.8620717999997</v>
      </c>
      <c r="E146" s="9">
        <f>E145*Supuestos!$C$10</f>
        <v>3270.3629118299996</v>
      </c>
      <c r="F146" s="9">
        <f>F145*Supuestos!$C$10</f>
        <v>4352.2748330355</v>
      </c>
    </row>
    <row r="147" spans="1:6" x14ac:dyDescent="0.25">
      <c r="A147" t="s">
        <v>142</v>
      </c>
      <c r="B147">
        <v>0</v>
      </c>
      <c r="C147" s="9">
        <f>C146*Supuestos!$C$11</f>
        <v>75869.972136</v>
      </c>
      <c r="D147" s="9">
        <f>D146*Supuestos!$C$11</f>
        <v>140359.44845159998</v>
      </c>
      <c r="E147" s="9">
        <f>E146*Supuestos!$C$11</f>
        <v>202762.50053345997</v>
      </c>
      <c r="F147" s="9">
        <f>F146*Supuestos!$C$11</f>
        <v>269841.03964820097</v>
      </c>
    </row>
    <row r="148" spans="1:6" x14ac:dyDescent="0.25">
      <c r="A148" t="s">
        <v>143</v>
      </c>
      <c r="B148">
        <v>0</v>
      </c>
      <c r="C148" s="9">
        <f>(C145*Supuestos!$C$14+C146*Supuestos!$C$15)*Supuestos!$C$16*Supuestos!$C$17</f>
        <v>35609.93853479999</v>
      </c>
      <c r="D148" s="9">
        <f>(D145*Supuestos!$C$14+D146*Supuestos!$C$15)*Supuestos!$C$16*Supuestos!$C$17</f>
        <v>65878.38628937998</v>
      </c>
      <c r="E148" s="9">
        <f>(E145*Supuestos!$C$14+E146*Supuestos!$C$15)*Supuestos!$C$16*Supuestos!$C$17</f>
        <v>95167.56073425298</v>
      </c>
      <c r="F148" s="9">
        <f>(F145*Supuestos!$C$14+F146*Supuestos!$C$15)*Supuestos!$C$16*Supuestos!$C$17</f>
        <v>126651.19764133304</v>
      </c>
    </row>
    <row r="149" spans="1:6" x14ac:dyDescent="0.25">
      <c r="A149" t="s">
        <v>144</v>
      </c>
      <c r="B149">
        <v>0</v>
      </c>
      <c r="C149" s="9">
        <f>Supuestos!$C$18*Supuestos!$C$19</f>
        <v>45000</v>
      </c>
      <c r="D149" s="9">
        <f>Supuestos!$C$18*Supuestos!$C$19</f>
        <v>45000</v>
      </c>
      <c r="E149" s="9">
        <f>Supuestos!$C$18*Supuestos!$C$19</f>
        <v>45000</v>
      </c>
      <c r="F149" s="9">
        <f>Supuestos!$C$18*Supuestos!$C$19</f>
        <v>45000</v>
      </c>
    </row>
    <row r="150" spans="1:6" x14ac:dyDescent="0.25">
      <c r="A150" t="s">
        <v>145</v>
      </c>
      <c r="B150">
        <v>0</v>
      </c>
      <c r="C150" s="9">
        <f>Supuestos!$C$20*2*Supuestos!$C$21*(1-Supuestos!$C$22)</f>
        <v>57600</v>
      </c>
      <c r="D150" s="9">
        <f>Supuestos!$C$20*2*Supuestos!$C$21*(1-Supuestos!$C$22)</f>
        <v>57600</v>
      </c>
      <c r="E150" s="9">
        <f>Supuestos!$C$20*2*Supuestos!$C$21*(1-Supuestos!$C$22)</f>
        <v>57600</v>
      </c>
      <c r="F150" s="9">
        <f>Supuestos!$C$20*2*Supuestos!$C$21*(1-Supuestos!$C$22)</f>
        <v>57600</v>
      </c>
    </row>
    <row r="151" spans="1:6" x14ac:dyDescent="0.25">
      <c r="A151" t="s">
        <v>146</v>
      </c>
      <c r="B151">
        <v>0</v>
      </c>
      <c r="C151" s="9">
        <f>Supuestos!$C$23*Supuestos!$C$24</f>
        <v>120000</v>
      </c>
      <c r="D151" s="9">
        <f>0</f>
        <v>0</v>
      </c>
      <c r="E151" s="9">
        <f>0</f>
        <v>0</v>
      </c>
      <c r="F151" s="9">
        <f>0</f>
        <v>0</v>
      </c>
    </row>
    <row r="152" spans="1:6" x14ac:dyDescent="0.25">
      <c r="A152" t="s">
        <v>147</v>
      </c>
      <c r="B152">
        <v>0</v>
      </c>
      <c r="C152" s="9">
        <f>C143*Supuestos!$C$25/1000*Supuestos!$C$26*Supuestos!$C$27</f>
        <v>114212.86128000001</v>
      </c>
      <c r="D152" s="9">
        <f>D143*Supuestos!$C$25/1000*Supuestos!$C$26*Supuestos!$C$27</f>
        <v>142766.0766</v>
      </c>
      <c r="E152" s="9">
        <f>E143*Supuestos!$C$25/1000*Supuestos!$C$26*Supuestos!$C$27</f>
        <v>178457.59575</v>
      </c>
      <c r="F152" s="9">
        <f>F143*Supuestos!$C$25/1000*Supuestos!$C$26*Supuestos!$C$27</f>
        <v>223071.99468750006</v>
      </c>
    </row>
    <row r="153" spans="1:6" x14ac:dyDescent="0.25">
      <c r="A153" t="s">
        <v>148</v>
      </c>
      <c r="B153">
        <v>0</v>
      </c>
      <c r="C153" s="9">
        <f>(C145*Supuestos!$C$28+C146*Supuestos!$C$29)*Supuestos!$C$30*Supuestos!$C$31*Supuestos!$C$17</f>
        <v>28910.130511499996</v>
      </c>
      <c r="D153" s="9">
        <f>(D145*Supuestos!$C$28+D146*Supuestos!$C$29)*Supuestos!$C$30*Supuestos!$C$31*Supuestos!$C$17</f>
        <v>53483.74144627499</v>
      </c>
      <c r="E153" s="9">
        <f>(E145*Supuestos!$C$28+E146*Supuestos!$C$29)*Supuestos!$C$30*Supuestos!$C$31*Supuestos!$C$17</f>
        <v>77262.32379198374</v>
      </c>
      <c r="F153" s="9">
        <f>(F145*Supuestos!$C$28+F146*Supuestos!$C$29)*Supuestos!$C$30*Supuestos!$C$31*Supuestos!$C$17</f>
        <v>102822.49293046369</v>
      </c>
    </row>
    <row r="154" spans="1:6" s="8" customFormat="1" x14ac:dyDescent="0.25">
      <c r="A154" s="8" t="s">
        <v>149</v>
      </c>
      <c r="B154" s="8">
        <v>0</v>
      </c>
      <c r="C154" s="10">
        <f>C147+C148+C149+C150+C151+C152+C153</f>
        <v>477202.90246230003</v>
      </c>
      <c r="D154" s="10">
        <f>D147+D148+D149+D150+D151+D152+D153</f>
        <v>505087.65278725495</v>
      </c>
      <c r="E154" s="10">
        <f>E147+E148+E149+E150+E151+E152+E153</f>
        <v>656249.9808096967</v>
      </c>
      <c r="F154" s="10">
        <f>F147+F148+F149+F150+F151+F152+F153</f>
        <v>824986.7249074979</v>
      </c>
    </row>
    <row r="155" spans="1:6" x14ac:dyDescent="0.25">
      <c r="A155" t="s">
        <v>150</v>
      </c>
      <c r="B155">
        <v>0</v>
      </c>
      <c r="C155" s="9">
        <f>-Supuestos!$C$33*1</f>
        <v>-200000</v>
      </c>
      <c r="D155" s="9">
        <f>-Supuestos!$C$33*1</f>
        <v>-200000</v>
      </c>
      <c r="E155" s="9">
        <f>-Supuestos!$C$33*1</f>
        <v>-200000</v>
      </c>
      <c r="F155" s="9">
        <f>-Supuestos!$C$33*1</f>
        <v>-200000</v>
      </c>
    </row>
    <row r="156" spans="1:6" x14ac:dyDescent="0.25">
      <c r="A156" t="s">
        <v>151</v>
      </c>
      <c r="B156">
        <v>0</v>
      </c>
      <c r="C156" s="9">
        <f>-Supuestos!$C$34*1</f>
        <v>-100000</v>
      </c>
      <c r="D156" s="9">
        <f>-Supuestos!$C$34*1</f>
        <v>-100000</v>
      </c>
      <c r="E156" s="9">
        <f>-Supuestos!$C$34*1</f>
        <v>-100000</v>
      </c>
      <c r="F156" s="9">
        <f>-Supuestos!$C$34*1</f>
        <v>-100000</v>
      </c>
    </row>
    <row r="157" spans="1:6" x14ac:dyDescent="0.25">
      <c r="A157" t="s">
        <v>152</v>
      </c>
      <c r="B157">
        <v>0</v>
      </c>
      <c r="C157" s="9">
        <f>-Supuestos!$C$35*1</f>
        <v>-100000</v>
      </c>
      <c r="D157" s="9">
        <f>-Supuestos!$C$35*1</f>
        <v>-100000</v>
      </c>
      <c r="E157" s="9">
        <f>-Supuestos!$C$35*1</f>
        <v>-100000</v>
      </c>
      <c r="F157" s="9">
        <f>-Supuestos!$C$35*1</f>
        <v>-100000</v>
      </c>
    </row>
    <row r="158" spans="1:6" x14ac:dyDescent="0.25">
      <c r="A158" t="s">
        <v>153</v>
      </c>
      <c r="B158">
        <v>0</v>
      </c>
      <c r="C158" s="9">
        <f>-Supuestos!$C$36*1</f>
        <v>-280000</v>
      </c>
      <c r="D158" s="9">
        <f>-Supuestos!$C$37*1</f>
        <v>-40000</v>
      </c>
      <c r="E158" s="9">
        <f>-Supuestos!$C$37*1</f>
        <v>-40000</v>
      </c>
      <c r="F158" s="9">
        <f>-Supuestos!$C$37*1</f>
        <v>-40000</v>
      </c>
    </row>
    <row r="159" spans="1:6" x14ac:dyDescent="0.25">
      <c r="A159" t="s">
        <v>154</v>
      </c>
      <c r="B159">
        <v>0</v>
      </c>
      <c r="C159" s="9">
        <f>-Supuestos!$C$38*1</f>
        <v>-120000</v>
      </c>
      <c r="D159" s="9">
        <f>-Supuestos!$C$39*1</f>
        <v>-50000</v>
      </c>
      <c r="E159" s="9">
        <f>-Supuestos!$C$39*1</f>
        <v>-50000</v>
      </c>
      <c r="F159" s="9">
        <f>-Supuestos!$C$39*1</f>
        <v>-50000</v>
      </c>
    </row>
    <row r="160" spans="1:6" x14ac:dyDescent="0.25">
      <c r="A160" t="s">
        <v>155</v>
      </c>
      <c r="B160">
        <v>0</v>
      </c>
      <c r="C160" s="9">
        <f>-C146*Supuestos!$C$12</f>
        <v>-22026.766104</v>
      </c>
      <c r="D160" s="9">
        <f>-D146*Supuestos!$C$12</f>
        <v>-40749.51729239999</v>
      </c>
      <c r="E160" s="9">
        <f>-E146*Supuestos!$C$12</f>
        <v>-58866.532412939996</v>
      </c>
      <c r="F160" s="9">
        <f>-F146*Supuestos!$C$12</f>
        <v>-78340.946994639</v>
      </c>
    </row>
    <row r="161" spans="1:6" x14ac:dyDescent="0.25">
      <c r="A161" t="s">
        <v>156</v>
      </c>
      <c r="B161">
        <v>0</v>
      </c>
      <c r="C161" s="9">
        <f>-Supuestos!$C$18*Supuestos!$C$41</f>
        <v>-60000</v>
      </c>
      <c r="D161" s="9">
        <f>0</f>
        <v>0</v>
      </c>
      <c r="E161" s="9">
        <f>0</f>
        <v>0</v>
      </c>
      <c r="F161" s="9">
        <f>0</f>
        <v>0</v>
      </c>
    </row>
    <row r="162" spans="1:6" x14ac:dyDescent="0.25">
      <c r="A162" t="s">
        <v>157</v>
      </c>
      <c r="B162">
        <v>0</v>
      </c>
      <c r="C162" s="9">
        <f>0</f>
        <v>0</v>
      </c>
      <c r="D162" s="9">
        <f>0</f>
        <v>0</v>
      </c>
      <c r="E162" s="9">
        <f>0</f>
        <v>0</v>
      </c>
      <c r="F162" s="9">
        <f>0</f>
        <v>0</v>
      </c>
    </row>
    <row r="163" spans="1:6" s="8" customFormat="1" x14ac:dyDescent="0.25">
      <c r="A163" s="8" t="s">
        <v>158</v>
      </c>
      <c r="B163" s="8">
        <v>0</v>
      </c>
      <c r="C163" s="10">
        <f>-(C155+C156+C157+C158+C159+C160+C161+C162)</f>
        <v>882026.766104</v>
      </c>
      <c r="D163" s="10">
        <f>-(D155+D156+D157+D158+D159+D160+D161+D162)</f>
        <v>530749.5172924</v>
      </c>
      <c r="E163" s="10">
        <f>-(E155+E156+E157+E158+E159+E160+E161+E162)</f>
        <v>548866.5324129399</v>
      </c>
      <c r="F163" s="10">
        <f>-(F155+F156+F157+F158+F159+F160+F161+F162)</f>
        <v>568340.946994639</v>
      </c>
    </row>
    <row r="164" spans="1:6" s="8" customFormat="1" x14ac:dyDescent="0.25">
      <c r="A164" s="8" t="s">
        <v>159</v>
      </c>
      <c r="B164" s="8">
        <v>0</v>
      </c>
      <c r="C164" s="10">
        <f>C154-C163</f>
        <v>-404823.8636417</v>
      </c>
      <c r="D164" s="10">
        <f>D154-D163</f>
        <v>-25661.86450514506</v>
      </c>
      <c r="E164" s="10">
        <f>E154-E163</f>
        <v>107383.44839675678</v>
      </c>
      <c r="F164" s="10">
        <f>F154-F163</f>
        <v>256645.77791285887</v>
      </c>
    </row>
    <row r="165" spans="1:6" x14ac:dyDescent="0.25">
      <c r="A165" t="s">
        <v>160</v>
      </c>
      <c r="B165">
        <v>0</v>
      </c>
      <c r="C165" s="9">
        <f>C164</f>
        <v>-404823.8636417</v>
      </c>
      <c r="D165" s="9">
        <f>D164+C165</f>
        <v>-430485.72814684507</v>
      </c>
      <c r="E165" s="9">
        <f>E164+D165</f>
        <v>-323102.2797500883</v>
      </c>
      <c r="F165" s="9">
        <f>F164+E165</f>
        <v>-66456.50183722941</v>
      </c>
    </row>
    <row r="166" spans="1:1" x14ac:dyDescent="0.25">
      <c r="A166" s="2" t="s">
        <v>131</v>
      </c>
    </row>
    <row r="167" spans="1:6" x14ac:dyDescent="0.25">
      <c r="A167" t="s">
        <v>137</v>
      </c>
      <c r="B167">
        <v>0</v>
      </c>
      <c r="C167">
        <v>0</v>
      </c>
      <c r="D167" s="9">
        <f>$B$5*Supuestos!$C$4</f>
        <v>551429.1</v>
      </c>
      <c r="E167" s="9">
        <f>$B$5*Supuestos!$C$4</f>
        <v>551429.1</v>
      </c>
      <c r="F167" s="9">
        <f>$B$5*Supuestos!$C$4</f>
        <v>551429.1</v>
      </c>
    </row>
    <row r="168" spans="1:6" x14ac:dyDescent="0.25">
      <c r="A168" t="s">
        <v>138</v>
      </c>
      <c r="B168">
        <v>0</v>
      </c>
      <c r="C168">
        <v>0</v>
      </c>
      <c r="D168" s="9">
        <f>MIN(D167*Supuestos!$C$5*$C$5*(1+Supuestos!$C$6)^0,D167*0.9)</f>
        <v>193000.18499999997</v>
      </c>
      <c r="E168" s="9">
        <f>MIN(E167*Supuestos!$C$5*$C$5*(1+Supuestos!$C$6)^1,E167*0.9)</f>
        <v>241250.23124999995</v>
      </c>
      <c r="F168" s="9">
        <f>MIN(F167*Supuestos!$C$5*$C$5*(1+Supuestos!$C$6)^2,F167*0.9)</f>
        <v>301562.78906249994</v>
      </c>
    </row>
    <row r="169" spans="1:6" x14ac:dyDescent="0.25">
      <c r="A169" t="s">
        <v>139</v>
      </c>
      <c r="B169">
        <v>0</v>
      </c>
      <c r="C169">
        <v>0</v>
      </c>
      <c r="D169" s="9">
        <f>D168*Supuestos!$C$8</f>
        <v>17370.016649999998</v>
      </c>
      <c r="E169" s="9">
        <f>E168*Supuestos!$C$8</f>
        <v>21712.520812499995</v>
      </c>
      <c r="F169" s="9">
        <f>F168*Supuestos!$C$8</f>
        <v>27140.651015624993</v>
      </c>
    </row>
    <row r="170" spans="1:6" x14ac:dyDescent="0.25">
      <c r="A170" t="s">
        <v>140</v>
      </c>
      <c r="B170">
        <v>0</v>
      </c>
      <c r="C170">
        <v>0</v>
      </c>
      <c r="D170" s="9">
        <f>D169</f>
        <v>17370.016649999998</v>
      </c>
      <c r="E170" s="9">
        <f>E169+D170*Supuestos!$C$9</f>
        <v>32134.530802499994</v>
      </c>
      <c r="F170" s="9">
        <f>F169+E170*Supuestos!$C$9</f>
        <v>46421.36949712499</v>
      </c>
    </row>
    <row r="171" spans="1:6" x14ac:dyDescent="0.25">
      <c r="A171" t="s">
        <v>141</v>
      </c>
      <c r="B171">
        <v>0</v>
      </c>
      <c r="C171">
        <v>0</v>
      </c>
      <c r="D171" s="9">
        <f>D170*Supuestos!$C$10</f>
        <v>694.800666</v>
      </c>
      <c r="E171" s="9">
        <f>E170*Supuestos!$C$10</f>
        <v>1285.3812320999998</v>
      </c>
      <c r="F171" s="9">
        <f>F170*Supuestos!$C$10</f>
        <v>1856.8547798849997</v>
      </c>
    </row>
    <row r="172" spans="1:6" x14ac:dyDescent="0.25">
      <c r="A172" t="s">
        <v>142</v>
      </c>
      <c r="B172">
        <v>0</v>
      </c>
      <c r="C172">
        <v>0</v>
      </c>
      <c r="D172" s="9">
        <f>D171*Supuestos!$C$11</f>
        <v>43077.641292</v>
      </c>
      <c r="E172" s="9">
        <f>E171*Supuestos!$C$11</f>
        <v>79693.63639019999</v>
      </c>
      <c r="F172" s="9">
        <f>F171*Supuestos!$C$11</f>
        <v>115124.99635286999</v>
      </c>
    </row>
    <row r="173" spans="1:6" x14ac:dyDescent="0.25">
      <c r="A173" t="s">
        <v>143</v>
      </c>
      <c r="B173">
        <v>0</v>
      </c>
      <c r="C173">
        <v>0</v>
      </c>
      <c r="D173" s="9">
        <f>(D170*Supuestos!$C$14+D171*Supuestos!$C$15)*Supuestos!$C$16*Supuestos!$C$17</f>
        <v>20218.699380599995</v>
      </c>
      <c r="E173" s="9">
        <f>(E170*Supuestos!$C$14+E171*Supuestos!$C$15)*Supuestos!$C$16*Supuestos!$C$17</f>
        <v>37404.59385410999</v>
      </c>
      <c r="F173" s="9">
        <f>(F170*Supuestos!$C$14+F171*Supuestos!$C$15)*Supuestos!$C$16*Supuestos!$C$17</f>
        <v>54034.47409465349</v>
      </c>
    </row>
    <row r="174" spans="1:6" x14ac:dyDescent="0.25">
      <c r="A174" t="s">
        <v>144</v>
      </c>
      <c r="B174">
        <v>0</v>
      </c>
      <c r="C174">
        <v>0</v>
      </c>
      <c r="D174" s="9">
        <f>Supuestos!$C$18*Supuestos!$C$19</f>
        <v>45000</v>
      </c>
      <c r="E174" s="9">
        <f>Supuestos!$C$18*Supuestos!$C$19</f>
        <v>45000</v>
      </c>
      <c r="F174" s="9">
        <f>Supuestos!$C$18*Supuestos!$C$19</f>
        <v>45000</v>
      </c>
    </row>
    <row r="175" spans="1:6" x14ac:dyDescent="0.25">
      <c r="A175" t="s">
        <v>145</v>
      </c>
      <c r="B175">
        <v>0</v>
      </c>
      <c r="C175">
        <v>0</v>
      </c>
      <c r="D175" s="9">
        <f>Supuestos!$C$20*2*Supuestos!$C$21*(1-Supuestos!$C$22)</f>
        <v>57600</v>
      </c>
      <c r="E175" s="9">
        <f>Supuestos!$C$20*2*Supuestos!$C$21*(1-Supuestos!$C$22)</f>
        <v>57600</v>
      </c>
      <c r="F175" s="9">
        <f>Supuestos!$C$20*2*Supuestos!$C$21*(1-Supuestos!$C$22)</f>
        <v>57600</v>
      </c>
    </row>
    <row r="176" spans="1:6" x14ac:dyDescent="0.25">
      <c r="A176" t="s">
        <v>146</v>
      </c>
      <c r="B176">
        <v>0</v>
      </c>
      <c r="C176">
        <v>0</v>
      </c>
      <c r="D176" s="9">
        <f>Supuestos!$C$23*Supuestos!$C$24</f>
        <v>120000</v>
      </c>
      <c r="E176" s="9">
        <f>0</f>
        <v>0</v>
      </c>
      <c r="F176" s="9">
        <f>0</f>
        <v>0</v>
      </c>
    </row>
    <row r="177" spans="1:6" x14ac:dyDescent="0.25">
      <c r="A177" t="s">
        <v>147</v>
      </c>
      <c r="B177">
        <v>0</v>
      </c>
      <c r="C177">
        <v>0</v>
      </c>
      <c r="D177" s="9">
        <f>D168*Supuestos!$C$25/1000*Supuestos!$C$26*Supuestos!$C$27</f>
        <v>64848.06215999999</v>
      </c>
      <c r="E177" s="9">
        <f>E168*Supuestos!$C$25/1000*Supuestos!$C$26*Supuestos!$C$27</f>
        <v>81060.0777</v>
      </c>
      <c r="F177" s="9">
        <f>F168*Supuestos!$C$25/1000*Supuestos!$C$26*Supuestos!$C$27</f>
        <v>101325.09712499997</v>
      </c>
    </row>
    <row r="178" spans="1:6" x14ac:dyDescent="0.25">
      <c r="A178" t="s">
        <v>148</v>
      </c>
      <c r="B178">
        <v>0</v>
      </c>
      <c r="C178">
        <v>0</v>
      </c>
      <c r="D178" s="9">
        <f>(D170*Supuestos!$C$28+D171*Supuestos!$C$29)*Supuestos!$C$30*Supuestos!$C$31*Supuestos!$C$17</f>
        <v>16414.66573425</v>
      </c>
      <c r="E178" s="9">
        <f>(E170*Supuestos!$C$28+E171*Supuestos!$C$29)*Supuestos!$C$30*Supuestos!$C$31*Supuestos!$C$17</f>
        <v>30367.131608362495</v>
      </c>
      <c r="F178" s="9">
        <f>(F170*Supuestos!$C$28+F171*Supuestos!$C$29)*Supuestos!$C$30*Supuestos!$C$31*Supuestos!$C$17</f>
        <v>43868.194174783115</v>
      </c>
    </row>
    <row r="179" spans="1:6" s="8" customFormat="1" x14ac:dyDescent="0.25">
      <c r="A179" s="8" t="s">
        <v>149</v>
      </c>
      <c r="B179" s="8">
        <v>0</v>
      </c>
      <c r="C179" s="8">
        <v>0</v>
      </c>
      <c r="D179" s="10">
        <f>D172+D173+D174+D175+D176+D177+D178</f>
        <v>367159.0685668499</v>
      </c>
      <c r="E179" s="10">
        <f>E172+E173+E174+E175+E176+E177+E178</f>
        <v>331125.4395526725</v>
      </c>
      <c r="F179" s="10">
        <f>F172+F173+F174+F175+F176+F177+F178</f>
        <v>416952.76174730656</v>
      </c>
    </row>
    <row r="180" spans="1:6" x14ac:dyDescent="0.25">
      <c r="A180" t="s">
        <v>150</v>
      </c>
      <c r="B180">
        <v>0</v>
      </c>
      <c r="C180">
        <v>0</v>
      </c>
      <c r="D180" s="9">
        <f>-Supuestos!$C$33*Supuestos!$C$44</f>
        <v>-120000</v>
      </c>
      <c r="E180" s="9">
        <f>-Supuestos!$C$33*Supuestos!$C$44</f>
        <v>-120000</v>
      </c>
      <c r="F180" s="9">
        <f>-Supuestos!$C$33*Supuestos!$C$44</f>
        <v>-120000</v>
      </c>
    </row>
    <row r="181" spans="1:6" x14ac:dyDescent="0.25">
      <c r="A181" t="s">
        <v>151</v>
      </c>
      <c r="B181">
        <v>0</v>
      </c>
      <c r="C181">
        <v>0</v>
      </c>
      <c r="D181" s="9">
        <f>-Supuestos!$C$34*Supuestos!$C$44</f>
        <v>-60000</v>
      </c>
      <c r="E181" s="9">
        <f>-Supuestos!$C$34*Supuestos!$C$44</f>
        <v>-60000</v>
      </c>
      <c r="F181" s="9">
        <f>-Supuestos!$C$34*Supuestos!$C$44</f>
        <v>-60000</v>
      </c>
    </row>
    <row r="182" spans="1:6" x14ac:dyDescent="0.25">
      <c r="A182" t="s">
        <v>152</v>
      </c>
      <c r="B182">
        <v>0</v>
      </c>
      <c r="C182">
        <v>0</v>
      </c>
      <c r="D182" s="9">
        <f>-Supuestos!$C$35*Supuestos!$C$44</f>
        <v>-60000</v>
      </c>
      <c r="E182" s="9">
        <f>-Supuestos!$C$35*Supuestos!$C$44</f>
        <v>-60000</v>
      </c>
      <c r="F182" s="9">
        <f>-Supuestos!$C$35*Supuestos!$C$44</f>
        <v>-60000</v>
      </c>
    </row>
    <row r="183" spans="1:6" x14ac:dyDescent="0.25">
      <c r="A183" t="s">
        <v>153</v>
      </c>
      <c r="B183">
        <v>0</v>
      </c>
      <c r="C183">
        <v>0</v>
      </c>
      <c r="D183" s="9">
        <f>-Supuestos!$C$36*Supuestos!$C$44</f>
        <v>-168000</v>
      </c>
      <c r="E183" s="9">
        <f>-Supuestos!$C$37*Supuestos!$C$44</f>
        <v>-24000</v>
      </c>
      <c r="F183" s="9">
        <f>-Supuestos!$C$37*Supuestos!$C$44</f>
        <v>-24000</v>
      </c>
    </row>
    <row r="184" spans="1:6" x14ac:dyDescent="0.25">
      <c r="A184" t="s">
        <v>154</v>
      </c>
      <c r="B184">
        <v>0</v>
      </c>
      <c r="C184">
        <v>0</v>
      </c>
      <c r="D184" s="9">
        <f>-Supuestos!$C$38*Supuestos!$C$44</f>
        <v>-72000</v>
      </c>
      <c r="E184" s="9">
        <f>-Supuestos!$C$39*Supuestos!$C$44</f>
        <v>-30000</v>
      </c>
      <c r="F184" s="9">
        <f>-Supuestos!$C$39*Supuestos!$C$44</f>
        <v>-30000</v>
      </c>
    </row>
    <row r="185" spans="1:6" x14ac:dyDescent="0.25">
      <c r="A185" t="s">
        <v>155</v>
      </c>
      <c r="B185">
        <v>0</v>
      </c>
      <c r="C185">
        <v>0</v>
      </c>
      <c r="D185" s="9">
        <f>-D171*Supuestos!$C$12</f>
        <v>-12506.411988</v>
      </c>
      <c r="E185" s="9">
        <f>-E171*Supuestos!$C$12</f>
        <v>-23136.862177799998</v>
      </c>
      <c r="F185" s="9">
        <f>-F171*Supuestos!$C$12</f>
        <v>-33423.386037929995</v>
      </c>
    </row>
    <row r="186" spans="1:6" x14ac:dyDescent="0.25">
      <c r="A186" t="s">
        <v>156</v>
      </c>
      <c r="B186">
        <v>0</v>
      </c>
      <c r="C186">
        <v>0</v>
      </c>
      <c r="D186" s="9">
        <f>-Supuestos!$C$18*Supuestos!$C$41</f>
        <v>-60000</v>
      </c>
      <c r="E186" s="9">
        <f>0</f>
        <v>0</v>
      </c>
      <c r="F186" s="9">
        <f>0</f>
        <v>0</v>
      </c>
    </row>
    <row r="187" spans="1:6" x14ac:dyDescent="0.25">
      <c r="A187" t="s">
        <v>157</v>
      </c>
      <c r="B187">
        <v>0</v>
      </c>
      <c r="C187">
        <v>0</v>
      </c>
      <c r="D187" s="9">
        <f>0</f>
        <v>0</v>
      </c>
      <c r="E187" s="9">
        <f>0</f>
        <v>0</v>
      </c>
      <c r="F187" s="9">
        <f>0</f>
        <v>0</v>
      </c>
    </row>
    <row r="188" spans="1:6" s="8" customFormat="1" x14ac:dyDescent="0.25">
      <c r="A188" s="8" t="s">
        <v>158</v>
      </c>
      <c r="B188" s="8">
        <v>0</v>
      </c>
      <c r="C188" s="8">
        <v>0</v>
      </c>
      <c r="D188" s="10">
        <f>-(D180+D181+D182+D183+D184+D185+D186+D187)</f>
        <v>552506.4119879999</v>
      </c>
      <c r="E188" s="10">
        <f>-(E180+E181+E182+E183+E184+E185+E186+E187)</f>
        <v>317136.8621778</v>
      </c>
      <c r="F188" s="10">
        <f>-(F180+F181+F182+F183+F184+F185+F186+F187)</f>
        <v>327423.38603793</v>
      </c>
    </row>
    <row r="189" spans="1:6" s="8" customFormat="1" x14ac:dyDescent="0.25">
      <c r="A189" s="8" t="s">
        <v>159</v>
      </c>
      <c r="B189" s="8">
        <v>0</v>
      </c>
      <c r="C189" s="8">
        <v>0</v>
      </c>
      <c r="D189" s="10">
        <f>D179-D188</f>
        <v>-185347.34342115</v>
      </c>
      <c r="E189" s="10">
        <f>E179-E188</f>
        <v>13988.577374872519</v>
      </c>
      <c r="F189" s="10">
        <f>F179-F188</f>
        <v>89529.37570937659</v>
      </c>
    </row>
    <row r="190" spans="1:6" x14ac:dyDescent="0.25">
      <c r="A190" t="s">
        <v>160</v>
      </c>
      <c r="B190">
        <v>0</v>
      </c>
      <c r="C190">
        <v>0</v>
      </c>
      <c r="D190" s="9">
        <f>D189</f>
        <v>-185347.34342115</v>
      </c>
      <c r="E190" s="9">
        <f>E189+D190</f>
        <v>-171358.76604627748</v>
      </c>
      <c r="F190" s="9">
        <f>F189+E190</f>
        <v>-81829.39033690089</v>
      </c>
    </row>
    <row r="191" spans="1:1" x14ac:dyDescent="0.25">
      <c r="A191" s="2" t="s">
        <v>133</v>
      </c>
    </row>
    <row r="192" spans="1:6" x14ac:dyDescent="0.25">
      <c r="A192" t="s">
        <v>137</v>
      </c>
      <c r="B192">
        <v>0</v>
      </c>
      <c r="C192">
        <v>0</v>
      </c>
      <c r="D192">
        <v>0</v>
      </c>
      <c r="E192" s="9">
        <f>$B$6*Supuestos!$C$4</f>
        <v>540050.1</v>
      </c>
      <c r="F192" s="9">
        <f>$B$6*Supuestos!$C$4</f>
        <v>540050.1</v>
      </c>
    </row>
    <row r="193" spans="1:6" x14ac:dyDescent="0.25">
      <c r="A193" t="s">
        <v>138</v>
      </c>
      <c r="B193">
        <v>0</v>
      </c>
      <c r="C193">
        <v>0</v>
      </c>
      <c r="D193">
        <v>0</v>
      </c>
      <c r="E193" s="9">
        <f>MIN(E192*Supuestos!$C$5*$C$6*(1+Supuestos!$C$6)^0,E192*0.9)</f>
        <v>189017.53499999997</v>
      </c>
      <c r="F193" s="9">
        <f>MIN(F192*Supuestos!$C$5*$C$6*(1+Supuestos!$C$6)^1,F192*0.9)</f>
        <v>236271.91874999995</v>
      </c>
    </row>
    <row r="194" spans="1:6" x14ac:dyDescent="0.25">
      <c r="A194" t="s">
        <v>139</v>
      </c>
      <c r="B194">
        <v>0</v>
      </c>
      <c r="C194">
        <v>0</v>
      </c>
      <c r="D194">
        <v>0</v>
      </c>
      <c r="E194" s="9">
        <f>E193*Supuestos!$C$8</f>
        <v>17011.578149999998</v>
      </c>
      <c r="F194" s="9">
        <f>F193*Supuestos!$C$8</f>
        <v>21264.472687499994</v>
      </c>
    </row>
    <row r="195" spans="1:6" x14ac:dyDescent="0.25">
      <c r="A195" t="s">
        <v>140</v>
      </c>
      <c r="B195">
        <v>0</v>
      </c>
      <c r="C195">
        <v>0</v>
      </c>
      <c r="D195">
        <v>0</v>
      </c>
      <c r="E195" s="9">
        <f>E194</f>
        <v>17011.578149999998</v>
      </c>
      <c r="F195" s="9">
        <f>F194+E195*Supuestos!$C$9</f>
        <v>31471.41957749999</v>
      </c>
    </row>
    <row r="196" spans="1:6" x14ac:dyDescent="0.25">
      <c r="A196" t="s">
        <v>141</v>
      </c>
      <c r="B196">
        <v>0</v>
      </c>
      <c r="C196">
        <v>0</v>
      </c>
      <c r="D196">
        <v>0</v>
      </c>
      <c r="E196" s="9">
        <f>E195*Supuestos!$C$10</f>
        <v>680.4631259999999</v>
      </c>
      <c r="F196" s="9">
        <f>F195*Supuestos!$C$10</f>
        <v>1258.8567830999996</v>
      </c>
    </row>
    <row r="197" spans="1:6" x14ac:dyDescent="0.25">
      <c r="A197" t="s">
        <v>142</v>
      </c>
      <c r="B197">
        <v>0</v>
      </c>
      <c r="C197">
        <v>0</v>
      </c>
      <c r="D197">
        <v>0</v>
      </c>
      <c r="E197" s="9">
        <f>E196*Supuestos!$C$11</f>
        <v>42188.713811999995</v>
      </c>
      <c r="F197" s="9">
        <f>F196*Supuestos!$C$11</f>
        <v>78049.12055219998</v>
      </c>
    </row>
    <row r="198" spans="1:6" x14ac:dyDescent="0.25">
      <c r="A198" t="s">
        <v>143</v>
      </c>
      <c r="B198">
        <v>0</v>
      </c>
      <c r="C198">
        <v>0</v>
      </c>
      <c r="D198">
        <v>0</v>
      </c>
      <c r="E198" s="9">
        <f>(E195*Supuestos!$C$14+E196*Supuestos!$C$15)*Supuestos!$C$16*Supuestos!$C$17</f>
        <v>19801.476966599996</v>
      </c>
      <c r="F198" s="9">
        <f>(F195*Supuestos!$C$14+F196*Supuestos!$C$15)*Supuestos!$C$16*Supuestos!$C$17</f>
        <v>36632.73238820999</v>
      </c>
    </row>
    <row r="199" spans="1:6" x14ac:dyDescent="0.25">
      <c r="A199" t="s">
        <v>144</v>
      </c>
      <c r="B199">
        <v>0</v>
      </c>
      <c r="C199">
        <v>0</v>
      </c>
      <c r="D199">
        <v>0</v>
      </c>
      <c r="E199" s="9">
        <f>Supuestos!$C$18*Supuestos!$C$19</f>
        <v>45000</v>
      </c>
      <c r="F199" s="9">
        <f>Supuestos!$C$18*Supuestos!$C$19</f>
        <v>45000</v>
      </c>
    </row>
    <row r="200" spans="1:6" x14ac:dyDescent="0.25">
      <c r="A200" t="s">
        <v>145</v>
      </c>
      <c r="B200">
        <v>0</v>
      </c>
      <c r="C200">
        <v>0</v>
      </c>
      <c r="D200">
        <v>0</v>
      </c>
      <c r="E200" s="9">
        <f>Supuestos!$C$20*2*Supuestos!$C$21*(1-Supuestos!$C$22)</f>
        <v>57600</v>
      </c>
      <c r="F200" s="9">
        <f>Supuestos!$C$20*2*Supuestos!$C$21*(1-Supuestos!$C$22)</f>
        <v>57600</v>
      </c>
    </row>
    <row r="201" spans="1:6" x14ac:dyDescent="0.25">
      <c r="A201" t="s">
        <v>146</v>
      </c>
      <c r="B201">
        <v>0</v>
      </c>
      <c r="C201">
        <v>0</v>
      </c>
      <c r="D201">
        <v>0</v>
      </c>
      <c r="E201" s="9">
        <f>Supuestos!$C$23*Supuestos!$C$24</f>
        <v>120000</v>
      </c>
      <c r="F201" s="9">
        <f>0</f>
        <v>0</v>
      </c>
    </row>
    <row r="202" spans="1:6" x14ac:dyDescent="0.25">
      <c r="A202" t="s">
        <v>147</v>
      </c>
      <c r="B202">
        <v>0</v>
      </c>
      <c r="C202">
        <v>0</v>
      </c>
      <c r="D202">
        <v>0</v>
      </c>
      <c r="E202" s="9">
        <f>E193*Supuestos!$C$25/1000*Supuestos!$C$26*Supuestos!$C$27</f>
        <v>63509.891759999984</v>
      </c>
      <c r="F202" s="9">
        <f>F193*Supuestos!$C$25/1000*Supuestos!$C$26*Supuestos!$C$27</f>
        <v>79387.36469999999</v>
      </c>
    </row>
    <row r="203" spans="1:6" x14ac:dyDescent="0.25">
      <c r="A203" t="s">
        <v>148</v>
      </c>
      <c r="B203">
        <v>0</v>
      </c>
      <c r="C203">
        <v>0</v>
      </c>
      <c r="D203">
        <v>0</v>
      </c>
      <c r="E203" s="9">
        <f>(E195*Supuestos!$C$28+E196*Supuestos!$C$29)*Supuestos!$C$30*Supuestos!$C$31*Supuestos!$C$17</f>
        <v>16075.941351749996</v>
      </c>
      <c r="F203" s="9">
        <f>(F195*Supuestos!$C$28+F196*Supuestos!$C$29)*Supuestos!$C$30*Supuestos!$C$31*Supuestos!$C$17</f>
        <v>29740.491500737488</v>
      </c>
    </row>
    <row r="204" spans="1:6" s="8" customFormat="1" x14ac:dyDescent="0.25">
      <c r="A204" s="8" t="s">
        <v>149</v>
      </c>
      <c r="B204" s="8">
        <v>0</v>
      </c>
      <c r="C204" s="8">
        <v>0</v>
      </c>
      <c r="D204" s="8">
        <v>0</v>
      </c>
      <c r="E204" s="10">
        <f>E197+E198+E199+E200+E201+E202+E203</f>
        <v>364176.02389034996</v>
      </c>
      <c r="F204" s="10">
        <f>F197+F198+F199+F200+F201+F202+F203</f>
        <v>326409.70914114744</v>
      </c>
    </row>
    <row r="205" spans="1:6" x14ac:dyDescent="0.25">
      <c r="A205" t="s">
        <v>150</v>
      </c>
      <c r="B205">
        <v>0</v>
      </c>
      <c r="C205">
        <v>0</v>
      </c>
      <c r="D205">
        <v>0</v>
      </c>
      <c r="E205" s="9">
        <f>-Supuestos!$C$33*Supuestos!$C$44</f>
        <v>-120000</v>
      </c>
      <c r="F205" s="9">
        <f>-Supuestos!$C$33*Supuestos!$C$44</f>
        <v>-120000</v>
      </c>
    </row>
    <row r="206" spans="1:6" x14ac:dyDescent="0.25">
      <c r="A206" t="s">
        <v>151</v>
      </c>
      <c r="B206">
        <v>0</v>
      </c>
      <c r="C206">
        <v>0</v>
      </c>
      <c r="D206">
        <v>0</v>
      </c>
      <c r="E206" s="9">
        <f>-Supuestos!$C$34*Supuestos!$C$44</f>
        <v>-60000</v>
      </c>
      <c r="F206" s="9">
        <f>-Supuestos!$C$34*Supuestos!$C$44</f>
        <v>-60000</v>
      </c>
    </row>
    <row r="207" spans="1:6" x14ac:dyDescent="0.25">
      <c r="A207" t="s">
        <v>152</v>
      </c>
      <c r="B207">
        <v>0</v>
      </c>
      <c r="C207">
        <v>0</v>
      </c>
      <c r="D207">
        <v>0</v>
      </c>
      <c r="E207" s="9">
        <f>-Supuestos!$C$35*Supuestos!$C$44</f>
        <v>-60000</v>
      </c>
      <c r="F207" s="9">
        <f>-Supuestos!$C$35*Supuestos!$C$44</f>
        <v>-60000</v>
      </c>
    </row>
    <row r="208" spans="1:6" x14ac:dyDescent="0.25">
      <c r="A208" t="s">
        <v>153</v>
      </c>
      <c r="B208">
        <v>0</v>
      </c>
      <c r="C208">
        <v>0</v>
      </c>
      <c r="D208">
        <v>0</v>
      </c>
      <c r="E208" s="9">
        <f>-Supuestos!$C$36*Supuestos!$C$44</f>
        <v>-168000</v>
      </c>
      <c r="F208" s="9">
        <f>-Supuestos!$C$37*Supuestos!$C$44</f>
        <v>-24000</v>
      </c>
    </row>
    <row r="209" spans="1:6" x14ac:dyDescent="0.25">
      <c r="A209" t="s">
        <v>154</v>
      </c>
      <c r="B209">
        <v>0</v>
      </c>
      <c r="C209">
        <v>0</v>
      </c>
      <c r="D209">
        <v>0</v>
      </c>
      <c r="E209" s="9">
        <f>-Supuestos!$C$38*Supuestos!$C$44</f>
        <v>-72000</v>
      </c>
      <c r="F209" s="9">
        <f>-Supuestos!$C$39*Supuestos!$C$44</f>
        <v>-30000</v>
      </c>
    </row>
    <row r="210" spans="1:6" x14ac:dyDescent="0.25">
      <c r="A210" t="s">
        <v>155</v>
      </c>
      <c r="B210">
        <v>0</v>
      </c>
      <c r="C210">
        <v>0</v>
      </c>
      <c r="D210">
        <v>0</v>
      </c>
      <c r="E210" s="9">
        <f>-E196*Supuestos!$C$12</f>
        <v>-12248.336267999997</v>
      </c>
      <c r="F210" s="9">
        <f>-F196*Supuestos!$C$12</f>
        <v>-22659.422095799993</v>
      </c>
    </row>
    <row r="211" spans="1:6" x14ac:dyDescent="0.25">
      <c r="A211" t="s">
        <v>156</v>
      </c>
      <c r="B211">
        <v>0</v>
      </c>
      <c r="C211">
        <v>0</v>
      </c>
      <c r="D211">
        <v>0</v>
      </c>
      <c r="E211" s="9">
        <f>-Supuestos!$C$18*Supuestos!$C$41</f>
        <v>-60000</v>
      </c>
      <c r="F211" s="9">
        <f>0</f>
        <v>0</v>
      </c>
    </row>
    <row r="212" spans="1:6" x14ac:dyDescent="0.25">
      <c r="A212" t="s">
        <v>157</v>
      </c>
      <c r="B212">
        <v>0</v>
      </c>
      <c r="C212">
        <v>0</v>
      </c>
      <c r="D212">
        <v>0</v>
      </c>
      <c r="E212" s="9">
        <f>0</f>
        <v>0</v>
      </c>
      <c r="F212" s="9">
        <f>0</f>
        <v>0</v>
      </c>
    </row>
    <row r="213" spans="1:6" s="8" customFormat="1" x14ac:dyDescent="0.25">
      <c r="A213" s="8" t="s">
        <v>158</v>
      </c>
      <c r="B213" s="8">
        <v>0</v>
      </c>
      <c r="C213" s="8">
        <v>0</v>
      </c>
      <c r="D213" s="8">
        <v>0</v>
      </c>
      <c r="E213" s="10">
        <f>-(E205+E206+E207+E208+E209+E210+E211+E212)</f>
        <v>552248.3362680001</v>
      </c>
      <c r="F213" s="10">
        <f>-(F205+F206+F207+F208+F209+F210+F211+F212)</f>
        <v>316659.4220958</v>
      </c>
    </row>
    <row r="214" spans="1:6" s="8" customFormat="1" x14ac:dyDescent="0.25">
      <c r="A214" s="8" t="s">
        <v>159</v>
      </c>
      <c r="B214" s="8">
        <v>0</v>
      </c>
      <c r="C214" s="8">
        <v>0</v>
      </c>
      <c r="D214" s="8">
        <v>0</v>
      </c>
      <c r="E214" s="10">
        <f>E204-E213</f>
        <v>-188072.31237765012</v>
      </c>
      <c r="F214" s="10">
        <f>F204-F213</f>
        <v>9750.287045347446</v>
      </c>
    </row>
    <row r="215" spans="1:6" x14ac:dyDescent="0.25">
      <c r="A215" t="s">
        <v>160</v>
      </c>
      <c r="B215">
        <v>0</v>
      </c>
      <c r="C215">
        <v>0</v>
      </c>
      <c r="D215">
        <v>0</v>
      </c>
      <c r="E215" s="9">
        <f>E214</f>
        <v>-188072.31237765012</v>
      </c>
      <c r="F215" s="9">
        <f>F214+E215</f>
        <v>-178322.02533230267</v>
      </c>
    </row>
    <row r="216" spans="1:6" s="8" customFormat="1" x14ac:dyDescent="0.25">
      <c r="A216" s="8" t="s">
        <v>161</v>
      </c>
      <c r="B216" s="10">
        <f>B129+B154+B179+B204</f>
        <v>375376.55839320004</v>
      </c>
      <c r="C216" s="10">
        <f>C129+C154+C179+C204</f>
        <v>821318.91737772</v>
      </c>
      <c r="D216" s="10">
        <f>D129+D154+D179+D204</f>
        <v>1307068.9301527317</v>
      </c>
      <c r="E216" s="10">
        <f>E129+E154+E179+E204</f>
        <v>1887625.5193436139</v>
      </c>
      <c r="F216" s="10">
        <f>F129+F154+F179+F204</f>
        <v>2223709.5781151373</v>
      </c>
    </row>
    <row r="217" spans="1:6" s="8" customFormat="1" x14ac:dyDescent="0.25">
      <c r="A217" s="8" t="s">
        <v>162</v>
      </c>
      <c r="B217" s="10">
        <f>B138+B163+B188+B213</f>
        <v>913217.341536</v>
      </c>
      <c r="C217" s="10">
        <f>C138+C163+C188+C213</f>
        <v>1396478.8479456</v>
      </c>
      <c r="D217" s="10">
        <f>D138+D163+D188+D213</f>
        <v>1608579.2745353598</v>
      </c>
      <c r="E217" s="10">
        <f>E138+E163+E188+E213</f>
        <v>1955260.858199216</v>
      </c>
      <c r="F217" s="10">
        <f>F138+F163+F188+F213</f>
        <v>1762898.1317670296</v>
      </c>
    </row>
    <row r="218" spans="1:6" x14ac:dyDescent="0.25">
      <c r="A218" t="s">
        <v>163</v>
      </c>
      <c r="B218" s="9">
        <f>B120+B145+B170+B195</f>
        <v>18357.418799999996</v>
      </c>
      <c r="C218" s="9">
        <f>C120+C145+C170+C195</f>
        <v>64553.95547999999</v>
      </c>
      <c r="D218" s="9">
        <f>D120+D145+D170+D195</f>
        <v>123026.77018799997</v>
      </c>
      <c r="E218" s="9">
        <f>E120+E145+E170+E195</f>
        <v>196195.63638779995</v>
      </c>
      <c r="F218" s="9">
        <f>F120+F145+F170+F195</f>
        <v>270691.84967642993</v>
      </c>
    </row>
    <row r="219" spans="1:6" s="8" customFormat="1" x14ac:dyDescent="0.25">
      <c r="A219" s="8" t="s">
        <v>164</v>
      </c>
      <c r="B219" s="10">
        <f>B216-B217</f>
        <v>-537840.7831428</v>
      </c>
      <c r="C219" s="10">
        <f>C216-C217</f>
        <v>-575159.93056788</v>
      </c>
      <c r="D219" s="10">
        <f>D216-D217</f>
        <v>-301510.3443826281</v>
      </c>
      <c r="E219" s="10">
        <f>E216-E217</f>
        <v>-67635.33885560208</v>
      </c>
      <c r="F219" s="10">
        <f>F216-F217</f>
        <v>460811.44634810765</v>
      </c>
    </row>
    <row r="220" spans="1:6" x14ac:dyDescent="0.25">
      <c r="A220" t="s">
        <v>165</v>
      </c>
      <c r="B220" s="9">
        <f>B219</f>
        <v>-537840.7831428</v>
      </c>
      <c r="C220" s="9">
        <f>C219+B220</f>
        <v>-1113000.7137106801</v>
      </c>
      <c r="D220" s="9">
        <f>D219+C220</f>
        <v>-1414511.0580933082</v>
      </c>
      <c r="E220" s="9">
        <f>E219+D220</f>
        <v>-1482146.3969489103</v>
      </c>
      <c r="F220" s="9">
        <f>F219+E220</f>
        <v>-1021334.9506008027</v>
      </c>
    </row>
    <row r="222" spans="1:6" x14ac:dyDescent="0.25">
      <c r="A222" s="1" t="s">
        <v>167</v>
      </c>
      <c r="B222" s="1" t="s">
        <v>96</v>
      </c>
      <c r="C222" s="1" t="s">
        <v>97</v>
      </c>
      <c r="D222" s="1" t="s">
        <v>98</v>
      </c>
      <c r="E222" s="1" t="s">
        <v>135</v>
      </c>
      <c r="F222" s="1" t="s">
        <v>136</v>
      </c>
    </row>
    <row r="223" spans="1:1" x14ac:dyDescent="0.25">
      <c r="A223" s="2" t="s">
        <v>129</v>
      </c>
    </row>
    <row r="224" spans="1:6" x14ac:dyDescent="0.25">
      <c r="A224" t="s">
        <v>137</v>
      </c>
      <c r="B224" s="9">
        <f>$B$3*Supuestos!$D$4</f>
        <v>757607.76</v>
      </c>
      <c r="C224" s="9">
        <f>$B$3*Supuestos!$D$4</f>
        <v>757607.76</v>
      </c>
      <c r="D224" s="9">
        <f>$B$3*Supuestos!$D$4</f>
        <v>757607.76</v>
      </c>
      <c r="E224" s="9">
        <f>$B$3*Supuestos!$D$4</f>
        <v>757607.76</v>
      </c>
      <c r="F224" s="9">
        <f>$B$3*Supuestos!$D$4</f>
        <v>757607.76</v>
      </c>
    </row>
    <row r="225" spans="1:6" x14ac:dyDescent="0.25">
      <c r="A225" t="s">
        <v>138</v>
      </c>
      <c r="B225" s="9">
        <f>MIN(B224*Supuestos!$D$5*$C$3*(1+Supuestos!$D$6)^0,B224*0.9)</f>
        <v>340923.492</v>
      </c>
      <c r="C225" s="9">
        <f>MIN(C224*Supuestos!$D$5*$C$3*(1+Supuestos!$D$6)^1,C224*0.9)</f>
        <v>460246.71420000005</v>
      </c>
      <c r="D225" s="9">
        <f>MIN(D224*Supuestos!$D$5*$C$3*(1+Supuestos!$D$6)^2,D224*0.9)</f>
        <v>621333.0641700001</v>
      </c>
      <c r="E225" s="9">
        <f>MIN(E224*Supuestos!$D$5*$C$3*(1+Supuestos!$D$6)^3,E224*0.9)</f>
        <v>681846.984</v>
      </c>
      <c r="F225" s="9">
        <f>MIN(F224*Supuestos!$D$5*$C$3*(1+Supuestos!$D$6)^4,F224*0.9)</f>
        <v>681846.984</v>
      </c>
    </row>
    <row r="226" spans="1:6" x14ac:dyDescent="0.25">
      <c r="A226" t="s">
        <v>139</v>
      </c>
      <c r="B226" s="9">
        <f>B225*Supuestos!$D$8</f>
        <v>40910.81904</v>
      </c>
      <c r="C226" s="9">
        <f>C225*Supuestos!$D$8</f>
        <v>55229.605704</v>
      </c>
      <c r="D226" s="9">
        <f>D225*Supuestos!$D$8</f>
        <v>74559.96770040001</v>
      </c>
      <c r="E226" s="9">
        <f>E225*Supuestos!$D$8</f>
        <v>81821.63808</v>
      </c>
      <c r="F226" s="9">
        <f>F225*Supuestos!$D$8</f>
        <v>81821.63808</v>
      </c>
    </row>
    <row r="227" spans="1:6" x14ac:dyDescent="0.25">
      <c r="A227" t="s">
        <v>140</v>
      </c>
      <c r="B227" s="9">
        <f>B226</f>
        <v>40910.81904</v>
      </c>
      <c r="C227" s="9">
        <f>C226+B227*Supuestos!$D$9</f>
        <v>83867.179032</v>
      </c>
      <c r="D227" s="9">
        <f>D226+C227*Supuestos!$D$9</f>
        <v>133266.99302280002</v>
      </c>
      <c r="E227" s="9">
        <f>E226+D227*Supuestos!$D$9</f>
        <v>175108.53319596002</v>
      </c>
      <c r="F227" s="9">
        <f>F226+E227*Supuestos!$D$9</f>
        <v>204397.611317172</v>
      </c>
    </row>
    <row r="228" spans="1:6" x14ac:dyDescent="0.25">
      <c r="A228" t="s">
        <v>141</v>
      </c>
      <c r="B228" s="9">
        <f>B227*Supuestos!$D$10</f>
        <v>2454.6491424</v>
      </c>
      <c r="C228" s="9">
        <f>C227*Supuestos!$D$10</f>
        <v>5032.03074192</v>
      </c>
      <c r="D228" s="9">
        <f>D227*Supuestos!$D$10</f>
        <v>7996.019581368</v>
      </c>
      <c r="E228" s="9">
        <f>E227*Supuestos!$D$10</f>
        <v>10506.511991757601</v>
      </c>
      <c r="F228" s="9">
        <f>F227*Supuestos!$D$10</f>
        <v>12263.85667903032</v>
      </c>
    </row>
    <row r="229" spans="1:6" x14ac:dyDescent="0.25">
      <c r="A229" t="s">
        <v>142</v>
      </c>
      <c r="B229" s="9">
        <f>B228*Supuestos!$D$11</f>
        <v>169370.7908256</v>
      </c>
      <c r="C229" s="9">
        <f>C228*Supuestos!$D$11</f>
        <v>347210.12119248</v>
      </c>
      <c r="D229" s="9">
        <f>D228*Supuestos!$D$11</f>
        <v>551725.351114392</v>
      </c>
      <c r="E229" s="9">
        <f>E228*Supuestos!$D$11</f>
        <v>724949.3274312745</v>
      </c>
      <c r="F229" s="9">
        <f>F228*Supuestos!$D$11</f>
        <v>846206.110853092</v>
      </c>
    </row>
    <row r="230" spans="1:6" x14ac:dyDescent="0.25">
      <c r="A230" t="s">
        <v>143</v>
      </c>
      <c r="B230" s="9">
        <f>(B227*Supuestos!$D$14+B228*Supuestos!$D$15)*Supuestos!$D$16*Supuestos!$D$17</f>
        <v>104568.05346624</v>
      </c>
      <c r="C230" s="9">
        <f>(C227*Supuestos!$D$14+C228*Supuestos!$D$15)*Supuestos!$D$16*Supuestos!$D$17</f>
        <v>214364.50960579197</v>
      </c>
      <c r="D230" s="9">
        <f>(D227*Supuestos!$D$14+D228*Supuestos!$D$15)*Supuestos!$D$16*Supuestos!$D$17</f>
        <v>340630.43416627677</v>
      </c>
      <c r="E230" s="9">
        <f>(E227*Supuestos!$D$14+E228*Supuestos!$D$15)*Supuestos!$D$16*Supuestos!$D$17</f>
        <v>447577.4108488737</v>
      </c>
      <c r="F230" s="9">
        <f>(F227*Supuestos!$D$14+F228*Supuestos!$D$15)*Supuestos!$D$16*Supuestos!$D$17</f>
        <v>522440.2945266916</v>
      </c>
    </row>
    <row r="231" spans="1:6" x14ac:dyDescent="0.25">
      <c r="A231" t="s">
        <v>144</v>
      </c>
      <c r="B231" s="9">
        <f>Supuestos!$D$18*Supuestos!$D$19</f>
        <v>80000</v>
      </c>
      <c r="C231" s="9">
        <f>Supuestos!$D$18*Supuestos!$D$19</f>
        <v>80000</v>
      </c>
      <c r="D231" s="9">
        <f>Supuestos!$D$18*Supuestos!$D$19</f>
        <v>80000</v>
      </c>
      <c r="E231" s="9">
        <f>Supuestos!$D$18*Supuestos!$D$19</f>
        <v>80000</v>
      </c>
      <c r="F231" s="9">
        <f>Supuestos!$D$18*Supuestos!$D$19</f>
        <v>80000</v>
      </c>
    </row>
    <row r="232" spans="1:6" x14ac:dyDescent="0.25">
      <c r="A232" t="s">
        <v>145</v>
      </c>
      <c r="B232" s="9">
        <f>Supuestos!$D$20*2*Supuestos!$D$21*(1-Supuestos!$D$22)</f>
        <v>98560.00000000001</v>
      </c>
      <c r="C232" s="9">
        <f>Supuestos!$D$20*2*Supuestos!$D$21*(1-Supuestos!$D$22)</f>
        <v>98560.00000000001</v>
      </c>
      <c r="D232" s="9">
        <f>Supuestos!$D$20*2*Supuestos!$D$21*(1-Supuestos!$D$22)</f>
        <v>98560.00000000001</v>
      </c>
      <c r="E232" s="9">
        <f>Supuestos!$D$20*2*Supuestos!$D$21*(1-Supuestos!$D$22)</f>
        <v>98560.00000000001</v>
      </c>
      <c r="F232" s="9">
        <f>Supuestos!$D$20*2*Supuestos!$D$21*(1-Supuestos!$D$22)</f>
        <v>98560.00000000001</v>
      </c>
    </row>
    <row r="233" spans="1:6" x14ac:dyDescent="0.25">
      <c r="A233" t="s">
        <v>146</v>
      </c>
      <c r="B233" s="9">
        <f>Supuestos!$D$23*Supuestos!$D$24</f>
        <v>220000</v>
      </c>
      <c r="C233" s="9">
        <f>0</f>
        <v>0</v>
      </c>
      <c r="D233" s="9">
        <f>0</f>
        <v>0</v>
      </c>
      <c r="E233" s="9">
        <f>0</f>
        <v>0</v>
      </c>
      <c r="F233" s="9">
        <f>0</f>
        <v>0</v>
      </c>
    </row>
    <row r="234" spans="1:6" x14ac:dyDescent="0.25">
      <c r="A234" t="s">
        <v>147</v>
      </c>
      <c r="B234" s="9">
        <f>B225*Supuestos!$D$25/1000*Supuestos!$D$26*Supuestos!$D$27</f>
        <v>204554.0952</v>
      </c>
      <c r="C234" s="9">
        <f>C225*Supuestos!$D$25/1000*Supuestos!$D$26*Supuestos!$D$27</f>
        <v>276148.02852000005</v>
      </c>
      <c r="D234" s="9">
        <f>D225*Supuestos!$D$25/1000*Supuestos!$D$26*Supuestos!$D$27</f>
        <v>372799.8385020001</v>
      </c>
      <c r="E234" s="9">
        <f>E225*Supuestos!$D$25/1000*Supuestos!$D$26*Supuestos!$D$27</f>
        <v>409108.1904</v>
      </c>
      <c r="F234" s="9">
        <f>F225*Supuestos!$D$25/1000*Supuestos!$D$26*Supuestos!$D$27</f>
        <v>409108.1904</v>
      </c>
    </row>
    <row r="235" spans="1:6" x14ac:dyDescent="0.25">
      <c r="A235" t="s">
        <v>148</v>
      </c>
      <c r="B235" s="9">
        <f>(B227*Supuestos!$D$28+B228*Supuestos!$D$29)*Supuestos!$D$30*Supuestos!$D$31*Supuestos!$D$17</f>
        <v>109968.28157951999</v>
      </c>
      <c r="C235" s="9">
        <f>(C227*Supuestos!$D$28+C228*Supuestos!$D$29)*Supuestos!$D$30*Supuestos!$D$31*Supuestos!$D$17</f>
        <v>225434.97723801597</v>
      </c>
      <c r="D235" s="9">
        <f>(D227*Supuestos!$D$28+D228*Supuestos!$D$29)*Supuestos!$D$30*Supuestos!$D$31*Supuestos!$D$17</f>
        <v>358221.67724528635</v>
      </c>
      <c r="E235" s="9">
        <f>(E227*Supuestos!$D$28+E228*Supuestos!$D$29)*Supuestos!$D$30*Supuestos!$D$31*Supuestos!$D$17</f>
        <v>470691.7372307405</v>
      </c>
      <c r="F235" s="9">
        <f>(F227*Supuestos!$D$28+F228*Supuestos!$D$29)*Supuestos!$D$30*Supuestos!$D$31*Supuestos!$D$17</f>
        <v>549420.7792205584</v>
      </c>
    </row>
    <row r="236" spans="1:6" s="8" customFormat="1" x14ac:dyDescent="0.25">
      <c r="A236" s="8" t="s">
        <v>149</v>
      </c>
      <c r="B236" s="10">
        <f>B229+B230+B231+B232+B233+B234+B235</f>
        <v>987021.2210713599</v>
      </c>
      <c r="C236" s="10">
        <f>C229+C230+C231+C232+C233+C234+C235</f>
        <v>1241717.636556288</v>
      </c>
      <c r="D236" s="10">
        <f>D229+D230+D231+D232+D233+D234+D235</f>
        <v>1801937.3010279553</v>
      </c>
      <c r="E236" s="10">
        <f>E229+E230+E231+E232+E233+E234+E235</f>
        <v>2230886.6659108885</v>
      </c>
      <c r="F236" s="10">
        <f>F229+F230+F231+F232+F233+F234+F235</f>
        <v>2505735.375000342</v>
      </c>
    </row>
    <row r="237" spans="1:6" x14ac:dyDescent="0.25">
      <c r="A237" t="s">
        <v>150</v>
      </c>
      <c r="B237" s="9">
        <f>-Supuestos!$D$33*1</f>
        <v>-200000</v>
      </c>
      <c r="C237" s="9">
        <f>-Supuestos!$D$33*1</f>
        <v>-200000</v>
      </c>
      <c r="D237" s="9">
        <f>-Supuestos!$D$33*1</f>
        <v>-200000</v>
      </c>
      <c r="E237" s="9">
        <f>-Supuestos!$D$33*1</f>
        <v>-200000</v>
      </c>
      <c r="F237" s="9">
        <f>-Supuestos!$D$33*1</f>
        <v>-200000</v>
      </c>
    </row>
    <row r="238" spans="1:6" x14ac:dyDescent="0.25">
      <c r="A238" t="s">
        <v>151</v>
      </c>
      <c r="B238" s="9">
        <f>-Supuestos!$D$34*1</f>
        <v>-100000</v>
      </c>
      <c r="C238" s="9">
        <f>-Supuestos!$D$34*1</f>
        <v>-100000</v>
      </c>
      <c r="D238" s="9">
        <f>-Supuestos!$D$34*1</f>
        <v>-100000</v>
      </c>
      <c r="E238" s="9">
        <f>-Supuestos!$D$34*1</f>
        <v>-100000</v>
      </c>
      <c r="F238" s="9">
        <f>-Supuestos!$D$34*1</f>
        <v>-100000</v>
      </c>
    </row>
    <row r="239" spans="1:6" x14ac:dyDescent="0.25">
      <c r="A239" t="s">
        <v>152</v>
      </c>
      <c r="B239" s="9">
        <f>-Supuestos!$D$35*1</f>
        <v>-100000</v>
      </c>
      <c r="C239" s="9">
        <f>-Supuestos!$D$35*1</f>
        <v>-100000</v>
      </c>
      <c r="D239" s="9">
        <f>-Supuestos!$D$35*1</f>
        <v>-100000</v>
      </c>
      <c r="E239" s="9">
        <f>-Supuestos!$D$35*1</f>
        <v>-100000</v>
      </c>
      <c r="F239" s="9">
        <f>-Supuestos!$D$35*1</f>
        <v>-100000</v>
      </c>
    </row>
    <row r="240" spans="1:6" x14ac:dyDescent="0.25">
      <c r="A240" t="s">
        <v>153</v>
      </c>
      <c r="B240" s="9">
        <f>-Supuestos!$D$36*1</f>
        <v>-280000</v>
      </c>
      <c r="C240" s="9">
        <f>-Supuestos!$D$37*1</f>
        <v>-40000</v>
      </c>
      <c r="D240" s="9">
        <f>-Supuestos!$D$37*1</f>
        <v>-40000</v>
      </c>
      <c r="E240" s="9">
        <f>-Supuestos!$D$37*1</f>
        <v>-40000</v>
      </c>
      <c r="F240" s="9">
        <f>-Supuestos!$D$37*1</f>
        <v>-40000</v>
      </c>
    </row>
    <row r="241" spans="1:6" x14ac:dyDescent="0.25">
      <c r="A241" t="s">
        <v>154</v>
      </c>
      <c r="B241" s="9">
        <f>-Supuestos!$D$38*1</f>
        <v>-120000</v>
      </c>
      <c r="C241" s="9">
        <f>-Supuestos!$D$39*1</f>
        <v>-50000</v>
      </c>
      <c r="D241" s="9">
        <f>-Supuestos!$D$39*1</f>
        <v>-50000</v>
      </c>
      <c r="E241" s="9">
        <f>-Supuestos!$D$39*1</f>
        <v>-50000</v>
      </c>
      <c r="F241" s="9">
        <f>-Supuestos!$D$39*1</f>
        <v>-50000</v>
      </c>
    </row>
    <row r="242" spans="1:6" x14ac:dyDescent="0.25">
      <c r="A242" t="s">
        <v>155</v>
      </c>
      <c r="B242" s="9">
        <f>-B228*Supuestos!$D$12</f>
        <v>-39274.3862784</v>
      </c>
      <c r="C242" s="9">
        <f>-C228*Supuestos!$D$12</f>
        <v>-80512.49187072</v>
      </c>
      <c r="D242" s="9">
        <f>-D228*Supuestos!$D$12</f>
        <v>-127936.313301888</v>
      </c>
      <c r="E242" s="9">
        <f>-E228*Supuestos!$D$12</f>
        <v>-168104.19186812162</v>
      </c>
      <c r="F242" s="9">
        <f>-F228*Supuestos!$D$12</f>
        <v>-196221.7068644851</v>
      </c>
    </row>
    <row r="243" spans="1:6" x14ac:dyDescent="0.25">
      <c r="A243" t="s">
        <v>156</v>
      </c>
      <c r="B243" s="9">
        <f>-Supuestos!$D$18*Supuestos!$D$41</f>
        <v>-80000</v>
      </c>
      <c r="C243" s="9">
        <f>0</f>
        <v>0</v>
      </c>
      <c r="D243" s="9">
        <f>0</f>
        <v>0</v>
      </c>
      <c r="E243" s="9">
        <f>0</f>
        <v>0</v>
      </c>
      <c r="F243" s="9">
        <f>0</f>
        <v>0</v>
      </c>
    </row>
    <row r="244" spans="1:6" x14ac:dyDescent="0.25">
      <c r="A244" t="s">
        <v>157</v>
      </c>
      <c r="B244" s="9">
        <f>-Supuestos!$D$40</f>
        <v>-40000</v>
      </c>
      <c r="C244" s="9">
        <f>0</f>
        <v>0</v>
      </c>
      <c r="D244" s="9">
        <f>0</f>
        <v>0</v>
      </c>
      <c r="E244" s="9">
        <f>0</f>
        <v>0</v>
      </c>
      <c r="F244" s="9">
        <f>0</f>
        <v>0</v>
      </c>
    </row>
    <row r="245" spans="1:6" s="8" customFormat="1" x14ac:dyDescent="0.25">
      <c r="A245" s="8" t="s">
        <v>158</v>
      </c>
      <c r="B245" s="10">
        <f>-(B237+B238+B239+B240+B241+B242+B243+B244)</f>
        <v>959274.3862784</v>
      </c>
      <c r="C245" s="10">
        <f>-(C237+C238+C239+C240+C241+C242+C243+C244)</f>
        <v>570512.4918707199</v>
      </c>
      <c r="D245" s="10">
        <f>-(D237+D238+D239+D240+D241+D242+D243+D244)</f>
        <v>617936.3133018881</v>
      </c>
      <c r="E245" s="10">
        <f>-(E237+E238+E239+E240+E241+E242+E243+E244)</f>
        <v>658104.1918681216</v>
      </c>
      <c r="F245" s="10">
        <f>-(F237+F238+F239+F240+F241+F242+F243+F244)</f>
        <v>686221.706864485</v>
      </c>
    </row>
    <row r="246" spans="1:6" s="8" customFormat="1" x14ac:dyDescent="0.25">
      <c r="A246" s="8" t="s">
        <v>159</v>
      </c>
      <c r="B246" s="10">
        <f>B236-B245</f>
        <v>27746.83479295997</v>
      </c>
      <c r="C246" s="10">
        <f>C236-C245</f>
        <v>671205.144685568</v>
      </c>
      <c r="D246" s="10">
        <f>D236-D245</f>
        <v>1184000.9877260672</v>
      </c>
      <c r="E246" s="10">
        <f>E236-E245</f>
        <v>1572782.4740427667</v>
      </c>
      <c r="F246" s="10">
        <f>F236-F245</f>
        <v>1819513.6681358567</v>
      </c>
    </row>
    <row r="247" spans="1:6" x14ac:dyDescent="0.25">
      <c r="A247" t="s">
        <v>160</v>
      </c>
      <c r="B247" s="9">
        <f>B246</f>
        <v>27746.83479295997</v>
      </c>
      <c r="C247" s="9">
        <f>C246+B247</f>
        <v>698951.979478528</v>
      </c>
      <c r="D247" s="9">
        <f>D246+C247</f>
        <v>1882952.9672045952</v>
      </c>
      <c r="E247" s="9">
        <f>E246+D247</f>
        <v>3455735.4412473617</v>
      </c>
      <c r="F247" s="9">
        <f>F246+E247</f>
        <v>5275249.109383218</v>
      </c>
    </row>
    <row r="248" spans="1:1" x14ac:dyDescent="0.25">
      <c r="A248" s="2" t="s">
        <v>130</v>
      </c>
    </row>
    <row r="249" spans="1:6" x14ac:dyDescent="0.25">
      <c r="A249" t="s">
        <v>137</v>
      </c>
      <c r="B249">
        <v>0</v>
      </c>
      <c r="C249" s="9">
        <f>$B$4*Supuestos!$D$4</f>
        <v>2525114.2800000003</v>
      </c>
      <c r="D249" s="9">
        <f>$B$4*Supuestos!$D$4</f>
        <v>2525114.2800000003</v>
      </c>
      <c r="E249" s="9">
        <f>$B$4*Supuestos!$D$4</f>
        <v>2525114.2800000003</v>
      </c>
      <c r="F249" s="9">
        <f>$B$4*Supuestos!$D$4</f>
        <v>2525114.2800000003</v>
      </c>
    </row>
    <row r="250" spans="1:6" x14ac:dyDescent="0.25">
      <c r="A250" t="s">
        <v>138</v>
      </c>
      <c r="B250">
        <v>0</v>
      </c>
      <c r="C250" s="9">
        <f>MIN(C249*Supuestos!$D$5*$C$4*(1+Supuestos!$D$6)^0,C249*0.9)</f>
        <v>568150.7130000001</v>
      </c>
      <c r="D250" s="9">
        <f>MIN(D249*Supuestos!$D$5*$C$4*(1+Supuestos!$D$6)^1,D249*0.9)</f>
        <v>767003.4625500002</v>
      </c>
      <c r="E250" s="9">
        <f>MIN(E249*Supuestos!$D$5*$C$4*(1+Supuestos!$D$6)^2,E249*0.9)</f>
        <v>1035454.6744425003</v>
      </c>
      <c r="F250" s="9">
        <f>MIN(F249*Supuestos!$D$5*$C$4*(1+Supuestos!$D$6)^3,F249*0.9)</f>
        <v>1397863.8104973754</v>
      </c>
    </row>
    <row r="251" spans="1:6" x14ac:dyDescent="0.25">
      <c r="A251" t="s">
        <v>139</v>
      </c>
      <c r="B251">
        <v>0</v>
      </c>
      <c r="C251" s="9">
        <f>C250*Supuestos!$D$8</f>
        <v>68178.08556</v>
      </c>
      <c r="D251" s="9">
        <f>D250*Supuestos!$D$8</f>
        <v>92040.41550600002</v>
      </c>
      <c r="E251" s="9">
        <f>E250*Supuestos!$D$8</f>
        <v>124254.56093310003</v>
      </c>
      <c r="F251" s="9">
        <f>F250*Supuestos!$D$8</f>
        <v>167743.65725968505</v>
      </c>
    </row>
    <row r="252" spans="1:6" x14ac:dyDescent="0.25">
      <c r="A252" t="s">
        <v>140</v>
      </c>
      <c r="B252">
        <v>0</v>
      </c>
      <c r="C252" s="9">
        <f>C251</f>
        <v>68178.08556</v>
      </c>
      <c r="D252" s="9">
        <f>D251+C252*Supuestos!$D$9</f>
        <v>139765.07539800002</v>
      </c>
      <c r="E252" s="9">
        <f>E251+D252*Supuestos!$D$9</f>
        <v>222090.11371170002</v>
      </c>
      <c r="F252" s="9">
        <f>F251+E252*Supuestos!$D$9</f>
        <v>323206.736857875</v>
      </c>
    </row>
    <row r="253" spans="1:6" x14ac:dyDescent="0.25">
      <c r="A253" t="s">
        <v>141</v>
      </c>
      <c r="B253">
        <v>0</v>
      </c>
      <c r="C253" s="9">
        <f>C252*Supuestos!$D$10</f>
        <v>4090.6851336000004</v>
      </c>
      <c r="D253" s="9">
        <f>D252*Supuestos!$D$10</f>
        <v>8385.90452388</v>
      </c>
      <c r="E253" s="9">
        <f>E252*Supuestos!$D$10</f>
        <v>13325.406822702</v>
      </c>
      <c r="F253" s="9">
        <f>F252*Supuestos!$D$10</f>
        <v>19392.4042114725</v>
      </c>
    </row>
    <row r="254" spans="1:6" x14ac:dyDescent="0.25">
      <c r="A254" t="s">
        <v>142</v>
      </c>
      <c r="B254">
        <v>0</v>
      </c>
      <c r="C254" s="9">
        <f>C253*Supuestos!$D$11</f>
        <v>282257.2742184</v>
      </c>
      <c r="D254" s="9">
        <f>D253*Supuestos!$D$11</f>
        <v>578627.4121477201</v>
      </c>
      <c r="E254" s="9">
        <f>E253*Supuestos!$D$11</f>
        <v>919453.070766438</v>
      </c>
      <c r="F254" s="9">
        <f>F253*Supuestos!$D$11</f>
        <v>1338075.8905916025</v>
      </c>
    </row>
    <row r="255" spans="1:6" x14ac:dyDescent="0.25">
      <c r="A255" t="s">
        <v>143</v>
      </c>
      <c r="B255">
        <v>0</v>
      </c>
      <c r="C255" s="9">
        <f>(C252*Supuestos!$D$14+C253*Supuestos!$D$15)*Supuestos!$D$16*Supuestos!$D$17</f>
        <v>174263.18669136002</v>
      </c>
      <c r="D255" s="9">
        <f>(D252*Supuestos!$D$14+D253*Supuestos!$D$15)*Supuestos!$D$16*Supuestos!$D$17</f>
        <v>357239.53271728795</v>
      </c>
      <c r="E255" s="9">
        <f>(E252*Supuestos!$D$14+E253*Supuestos!$D$15)*Supuestos!$D$16*Supuestos!$D$17</f>
        <v>567662.3306471051</v>
      </c>
      <c r="F255" s="9">
        <f>(F252*Supuestos!$D$14+F253*Supuestos!$D$15)*Supuestos!$D$16*Supuestos!$D$17</f>
        <v>826116.4194087285</v>
      </c>
    </row>
    <row r="256" spans="1:6" x14ac:dyDescent="0.25">
      <c r="A256" t="s">
        <v>144</v>
      </c>
      <c r="B256">
        <v>0</v>
      </c>
      <c r="C256" s="9">
        <f>Supuestos!$D$18*Supuestos!$D$19</f>
        <v>80000</v>
      </c>
      <c r="D256" s="9">
        <f>Supuestos!$D$18*Supuestos!$D$19</f>
        <v>80000</v>
      </c>
      <c r="E256" s="9">
        <f>Supuestos!$D$18*Supuestos!$D$19</f>
        <v>80000</v>
      </c>
      <c r="F256" s="9">
        <f>Supuestos!$D$18*Supuestos!$D$19</f>
        <v>80000</v>
      </c>
    </row>
    <row r="257" spans="1:6" x14ac:dyDescent="0.25">
      <c r="A257" t="s">
        <v>145</v>
      </c>
      <c r="B257">
        <v>0</v>
      </c>
      <c r="C257" s="9">
        <f>Supuestos!$D$20*2*Supuestos!$D$21*(1-Supuestos!$D$22)</f>
        <v>98560.00000000001</v>
      </c>
      <c r="D257" s="9">
        <f>Supuestos!$D$20*2*Supuestos!$D$21*(1-Supuestos!$D$22)</f>
        <v>98560.00000000001</v>
      </c>
      <c r="E257" s="9">
        <f>Supuestos!$D$20*2*Supuestos!$D$21*(1-Supuestos!$D$22)</f>
        <v>98560.00000000001</v>
      </c>
      <c r="F257" s="9">
        <f>Supuestos!$D$20*2*Supuestos!$D$21*(1-Supuestos!$D$22)</f>
        <v>98560.00000000001</v>
      </c>
    </row>
    <row r="258" spans="1:6" x14ac:dyDescent="0.25">
      <c r="A258" t="s">
        <v>146</v>
      </c>
      <c r="B258">
        <v>0</v>
      </c>
      <c r="C258" s="9">
        <f>Supuestos!$D$23*Supuestos!$D$24</f>
        <v>220000</v>
      </c>
      <c r="D258" s="9">
        <f>0</f>
        <v>0</v>
      </c>
      <c r="E258" s="9">
        <f>0</f>
        <v>0</v>
      </c>
      <c r="F258" s="9">
        <f>0</f>
        <v>0</v>
      </c>
    </row>
    <row r="259" spans="1:6" x14ac:dyDescent="0.25">
      <c r="A259" t="s">
        <v>147</v>
      </c>
      <c r="B259">
        <v>0</v>
      </c>
      <c r="C259" s="9">
        <f>C250*Supuestos!$D$25/1000*Supuestos!$D$26*Supuestos!$D$27</f>
        <v>340890.42780000006</v>
      </c>
      <c r="D259" s="9">
        <f>D250*Supuestos!$D$25/1000*Supuestos!$D$26*Supuestos!$D$27</f>
        <v>460202.0775300001</v>
      </c>
      <c r="E259" s="9">
        <f>E250*Supuestos!$D$25/1000*Supuestos!$D$26*Supuestos!$D$27</f>
        <v>621272.8046655002</v>
      </c>
      <c r="F259" s="9">
        <f>F250*Supuestos!$D$25/1000*Supuestos!$D$26*Supuestos!$D$27</f>
        <v>838718.2862984252</v>
      </c>
    </row>
    <row r="260" spans="1:6" x14ac:dyDescent="0.25">
      <c r="A260" t="s">
        <v>148</v>
      </c>
      <c r="B260">
        <v>0</v>
      </c>
      <c r="C260" s="9">
        <f>(C252*Supuestos!$D$28+C253*Supuestos!$D$29)*Supuestos!$D$30*Supuestos!$D$31*Supuestos!$D$17</f>
        <v>183262.69398528</v>
      </c>
      <c r="D260" s="9">
        <f>(D252*Supuestos!$D$28+D253*Supuestos!$D$29)*Supuestos!$D$30*Supuestos!$D$31*Supuestos!$D$17</f>
        <v>375688.522669824</v>
      </c>
      <c r="E260" s="9">
        <f>(E252*Supuestos!$D$28+E253*Supuestos!$D$29)*Supuestos!$D$30*Supuestos!$D$31*Supuestos!$D$17</f>
        <v>596978.2256570495</v>
      </c>
      <c r="F260" s="9">
        <f>(F252*Supuestos!$D$28+F253*Supuestos!$D$29)*Supuestos!$D$30*Supuestos!$D$31*Supuestos!$D$17</f>
        <v>868779.708673968</v>
      </c>
    </row>
    <row r="261" spans="1:6" s="8" customFormat="1" x14ac:dyDescent="0.25">
      <c r="A261" s="8" t="s">
        <v>149</v>
      </c>
      <c r="B261" s="8">
        <v>0</v>
      </c>
      <c r="C261" s="10">
        <f>C254+C255+C256+C257+C258+C259+C260</f>
        <v>1379233.5826950404</v>
      </c>
      <c r="D261" s="10">
        <f>D254+D255+D256+D257+D258+D259+D260</f>
        <v>1950317.5450648323</v>
      </c>
      <c r="E261" s="10">
        <f>E254+E255+E256+E257+E258+E259+E260</f>
        <v>2883926.431736093</v>
      </c>
      <c r="F261" s="10">
        <f>F254+F255+F256+F257+F258+F259+F260</f>
        <v>4050250.304972724</v>
      </c>
    </row>
    <row r="262" spans="1:6" x14ac:dyDescent="0.25">
      <c r="A262" t="s">
        <v>150</v>
      </c>
      <c r="B262">
        <v>0</v>
      </c>
      <c r="C262" s="9">
        <f>-Supuestos!$D$33*1</f>
        <v>-200000</v>
      </c>
      <c r="D262" s="9">
        <f>-Supuestos!$D$33*1</f>
        <v>-200000</v>
      </c>
      <c r="E262" s="9">
        <f>-Supuestos!$D$33*1</f>
        <v>-200000</v>
      </c>
      <c r="F262" s="9">
        <f>-Supuestos!$D$33*1</f>
        <v>-200000</v>
      </c>
    </row>
    <row r="263" spans="1:6" x14ac:dyDescent="0.25">
      <c r="A263" t="s">
        <v>151</v>
      </c>
      <c r="B263">
        <v>0</v>
      </c>
      <c r="C263" s="9">
        <f>-Supuestos!$D$34*1</f>
        <v>-100000</v>
      </c>
      <c r="D263" s="9">
        <f>-Supuestos!$D$34*1</f>
        <v>-100000</v>
      </c>
      <c r="E263" s="9">
        <f>-Supuestos!$D$34*1</f>
        <v>-100000</v>
      </c>
      <c r="F263" s="9">
        <f>-Supuestos!$D$34*1</f>
        <v>-100000</v>
      </c>
    </row>
    <row r="264" spans="1:6" x14ac:dyDescent="0.25">
      <c r="A264" t="s">
        <v>152</v>
      </c>
      <c r="B264">
        <v>0</v>
      </c>
      <c r="C264" s="9">
        <f>-Supuestos!$D$35*1</f>
        <v>-100000</v>
      </c>
      <c r="D264" s="9">
        <f>-Supuestos!$D$35*1</f>
        <v>-100000</v>
      </c>
      <c r="E264" s="9">
        <f>-Supuestos!$D$35*1</f>
        <v>-100000</v>
      </c>
      <c r="F264" s="9">
        <f>-Supuestos!$D$35*1</f>
        <v>-100000</v>
      </c>
    </row>
    <row r="265" spans="1:6" x14ac:dyDescent="0.25">
      <c r="A265" t="s">
        <v>153</v>
      </c>
      <c r="B265">
        <v>0</v>
      </c>
      <c r="C265" s="9">
        <f>-Supuestos!$D$36*1</f>
        <v>-280000</v>
      </c>
      <c r="D265" s="9">
        <f>-Supuestos!$D$37*1</f>
        <v>-40000</v>
      </c>
      <c r="E265" s="9">
        <f>-Supuestos!$D$37*1</f>
        <v>-40000</v>
      </c>
      <c r="F265" s="9">
        <f>-Supuestos!$D$37*1</f>
        <v>-40000</v>
      </c>
    </row>
    <row r="266" spans="1:6" x14ac:dyDescent="0.25">
      <c r="A266" t="s">
        <v>154</v>
      </c>
      <c r="B266">
        <v>0</v>
      </c>
      <c r="C266" s="9">
        <f>-Supuestos!$D$38*1</f>
        <v>-120000</v>
      </c>
      <c r="D266" s="9">
        <f>-Supuestos!$D$39*1</f>
        <v>-50000</v>
      </c>
      <c r="E266" s="9">
        <f>-Supuestos!$D$39*1</f>
        <v>-50000</v>
      </c>
      <c r="F266" s="9">
        <f>-Supuestos!$D$39*1</f>
        <v>-50000</v>
      </c>
    </row>
    <row r="267" spans="1:6" x14ac:dyDescent="0.25">
      <c r="A267" t="s">
        <v>155</v>
      </c>
      <c r="B267">
        <v>0</v>
      </c>
      <c r="C267" s="9">
        <f>-C253*Supuestos!$D$12</f>
        <v>-65450.96213760001</v>
      </c>
      <c r="D267" s="9">
        <f>-D253*Supuestos!$D$12</f>
        <v>-134174.47238208</v>
      </c>
      <c r="E267" s="9">
        <f>-E253*Supuestos!$D$12</f>
        <v>-213206.509163232</v>
      </c>
      <c r="F267" s="9">
        <f>-F253*Supuestos!$D$12</f>
        <v>-310278.46738356</v>
      </c>
    </row>
    <row r="268" spans="1:6" x14ac:dyDescent="0.25">
      <c r="A268" t="s">
        <v>156</v>
      </c>
      <c r="B268">
        <v>0</v>
      </c>
      <c r="C268" s="9">
        <f>-Supuestos!$D$18*Supuestos!$D$41</f>
        <v>-80000</v>
      </c>
      <c r="D268" s="9">
        <f>0</f>
        <v>0</v>
      </c>
      <c r="E268" s="9">
        <f>0</f>
        <v>0</v>
      </c>
      <c r="F268" s="9">
        <f>0</f>
        <v>0</v>
      </c>
    </row>
    <row r="269" spans="1:6" x14ac:dyDescent="0.25">
      <c r="A269" t="s">
        <v>157</v>
      </c>
      <c r="B269">
        <v>0</v>
      </c>
      <c r="C269" s="9">
        <f>0</f>
        <v>0</v>
      </c>
      <c r="D269" s="9">
        <f>0</f>
        <v>0</v>
      </c>
      <c r="E269" s="9">
        <f>0</f>
        <v>0</v>
      </c>
      <c r="F269" s="9">
        <f>0</f>
        <v>0</v>
      </c>
    </row>
    <row r="270" spans="1:6" s="8" customFormat="1" x14ac:dyDescent="0.25">
      <c r="A270" s="8" t="s">
        <v>158</v>
      </c>
      <c r="B270" s="8">
        <v>0</v>
      </c>
      <c r="C270" s="10">
        <f>-(C262+C263+C264+C265+C266+C267+C268+C269)</f>
        <v>945450.9621376</v>
      </c>
      <c r="D270" s="10">
        <f>-(D262+D263+D264+D265+D266+D267+D268+D269)</f>
        <v>624174.47238208</v>
      </c>
      <c r="E270" s="10">
        <f>-(E262+E263+E264+E265+E266+E267+E268+E269)</f>
        <v>703206.509163232</v>
      </c>
      <c r="F270" s="10">
        <f>-(F262+F263+F264+F265+F266+F267+F268+F269)</f>
        <v>800278.46738356</v>
      </c>
    </row>
    <row r="271" spans="1:6" s="8" customFormat="1" x14ac:dyDescent="0.25">
      <c r="A271" s="8" t="s">
        <v>159</v>
      </c>
      <c r="B271" s="8">
        <v>0</v>
      </c>
      <c r="C271" s="10">
        <f>C261-C270</f>
        <v>433782.6205574403</v>
      </c>
      <c r="D271" s="10">
        <f>D261-D270</f>
        <v>1326143.0726827523</v>
      </c>
      <c r="E271" s="10">
        <f>E261-E270</f>
        <v>2180719.922572861</v>
      </c>
      <c r="F271" s="10">
        <f>F261-F270</f>
        <v>3249971.8375891643</v>
      </c>
    </row>
    <row r="272" spans="1:6" x14ac:dyDescent="0.25">
      <c r="A272" t="s">
        <v>160</v>
      </c>
      <c r="B272">
        <v>0</v>
      </c>
      <c r="C272" s="9">
        <f>C271</f>
        <v>433782.6205574403</v>
      </c>
      <c r="D272" s="9">
        <f>D271+C272</f>
        <v>1759925.6932401927</v>
      </c>
      <c r="E272" s="9">
        <f>E271+D272</f>
        <v>3940645.6158130537</v>
      </c>
      <c r="F272" s="9">
        <f>F271+E272</f>
        <v>7190617.4534022175</v>
      </c>
    </row>
    <row r="273" spans="1:1" x14ac:dyDescent="0.25">
      <c r="A273" s="2" t="s">
        <v>131</v>
      </c>
    </row>
    <row r="274" spans="1:6" x14ac:dyDescent="0.25">
      <c r="A274" t="s">
        <v>137</v>
      </c>
      <c r="B274">
        <v>0</v>
      </c>
      <c r="C274">
        <v>0</v>
      </c>
      <c r="D274" s="9">
        <f>$B$5*Supuestos!$D$4</f>
        <v>716857.8300000001</v>
      </c>
      <c r="E274" s="9">
        <f>$B$5*Supuestos!$D$4</f>
        <v>716857.8300000001</v>
      </c>
      <c r="F274" s="9">
        <f>$B$5*Supuestos!$D$4</f>
        <v>716857.8300000001</v>
      </c>
    </row>
    <row r="275" spans="1:6" x14ac:dyDescent="0.25">
      <c r="A275" t="s">
        <v>138</v>
      </c>
      <c r="B275">
        <v>0</v>
      </c>
      <c r="C275">
        <v>0</v>
      </c>
      <c r="D275" s="9">
        <f>MIN(D274*Supuestos!$D$5*$C$5*(1+Supuestos!$D$6)^0,D274*0.9)</f>
        <v>322586.02350000007</v>
      </c>
      <c r="E275" s="9">
        <f>MIN(E274*Supuestos!$D$5*$C$5*(1+Supuestos!$D$6)^1,E274*0.9)</f>
        <v>435491.1317250001</v>
      </c>
      <c r="F275" s="9">
        <f>MIN(F274*Supuestos!$D$5*$C$5*(1+Supuestos!$D$6)^2,F274*0.9)</f>
        <v>587913.0278287502</v>
      </c>
    </row>
    <row r="276" spans="1:6" x14ac:dyDescent="0.25">
      <c r="A276" t="s">
        <v>139</v>
      </c>
      <c r="B276">
        <v>0</v>
      </c>
      <c r="C276">
        <v>0</v>
      </c>
      <c r="D276" s="9">
        <f>D275*Supuestos!$D$8</f>
        <v>38710.32282000001</v>
      </c>
      <c r="E276" s="9">
        <f>E275*Supuestos!$D$8</f>
        <v>52258.93580700001</v>
      </c>
      <c r="F276" s="9">
        <f>F275*Supuestos!$D$8</f>
        <v>70549.56333945002</v>
      </c>
    </row>
    <row r="277" spans="1:6" x14ac:dyDescent="0.25">
      <c r="A277" t="s">
        <v>140</v>
      </c>
      <c r="B277">
        <v>0</v>
      </c>
      <c r="C277">
        <v>0</v>
      </c>
      <c r="D277" s="9">
        <f>D276</f>
        <v>38710.32282000001</v>
      </c>
      <c r="E277" s="9">
        <f>E276+D277*Supuestos!$D$9</f>
        <v>79356.16178100002</v>
      </c>
      <c r="F277" s="9">
        <f>F276+E277*Supuestos!$D$9</f>
        <v>126098.87658615003</v>
      </c>
    </row>
    <row r="278" spans="1:6" x14ac:dyDescent="0.25">
      <c r="A278" t="s">
        <v>141</v>
      </c>
      <c r="B278">
        <v>0</v>
      </c>
      <c r="C278">
        <v>0</v>
      </c>
      <c r="D278" s="9">
        <f>D277*Supuestos!$D$10</f>
        <v>2322.6193692000006</v>
      </c>
      <c r="E278" s="9">
        <f>E277*Supuestos!$D$10</f>
        <v>4761.36970686</v>
      </c>
      <c r="F278" s="9">
        <f>F277*Supuestos!$D$10</f>
        <v>7565.932595169002</v>
      </c>
    </row>
    <row r="279" spans="1:6" x14ac:dyDescent="0.25">
      <c r="A279" t="s">
        <v>142</v>
      </c>
      <c r="B279">
        <v>0</v>
      </c>
      <c r="C279">
        <v>0</v>
      </c>
      <c r="D279" s="9">
        <f>D278*Supuestos!$D$11</f>
        <v>160260.73647480004</v>
      </c>
      <c r="E279" s="9">
        <f>E278*Supuestos!$D$11</f>
        <v>328534.50977334</v>
      </c>
      <c r="F279" s="9">
        <f>F278*Supuestos!$D$11</f>
        <v>522049.3490666611</v>
      </c>
    </row>
    <row r="280" spans="1:6" x14ac:dyDescent="0.25">
      <c r="A280" t="s">
        <v>143</v>
      </c>
      <c r="B280">
        <v>0</v>
      </c>
      <c r="C280">
        <v>0</v>
      </c>
      <c r="D280" s="9">
        <f>(D277*Supuestos!$D$14+D278*Supuestos!$D$15)*Supuestos!$D$16*Supuestos!$D$17</f>
        <v>98943.58512792001</v>
      </c>
      <c r="E280" s="9">
        <f>(E277*Supuestos!$D$14+E278*Supuestos!$D$15)*Supuestos!$D$16*Supuestos!$D$17</f>
        <v>202834.349512236</v>
      </c>
      <c r="F280" s="9">
        <f>(F277*Supuestos!$D$14+F278*Supuestos!$D$15)*Supuestos!$D$16*Supuestos!$D$17</f>
        <v>322308.72855419945</v>
      </c>
    </row>
    <row r="281" spans="1:6" x14ac:dyDescent="0.25">
      <c r="A281" t="s">
        <v>144</v>
      </c>
      <c r="B281">
        <v>0</v>
      </c>
      <c r="C281">
        <v>0</v>
      </c>
      <c r="D281" s="9">
        <f>Supuestos!$D$18*Supuestos!$D$19</f>
        <v>80000</v>
      </c>
      <c r="E281" s="9">
        <f>Supuestos!$D$18*Supuestos!$D$19</f>
        <v>80000</v>
      </c>
      <c r="F281" s="9">
        <f>Supuestos!$D$18*Supuestos!$D$19</f>
        <v>80000</v>
      </c>
    </row>
    <row r="282" spans="1:6" x14ac:dyDescent="0.25">
      <c r="A282" t="s">
        <v>145</v>
      </c>
      <c r="B282">
        <v>0</v>
      </c>
      <c r="C282">
        <v>0</v>
      </c>
      <c r="D282" s="9">
        <f>Supuestos!$D$20*2*Supuestos!$D$21*(1-Supuestos!$D$22)</f>
        <v>98560.00000000001</v>
      </c>
      <c r="E282" s="9">
        <f>Supuestos!$D$20*2*Supuestos!$D$21*(1-Supuestos!$D$22)</f>
        <v>98560.00000000001</v>
      </c>
      <c r="F282" s="9">
        <f>Supuestos!$D$20*2*Supuestos!$D$21*(1-Supuestos!$D$22)</f>
        <v>98560.00000000001</v>
      </c>
    </row>
    <row r="283" spans="1:6" x14ac:dyDescent="0.25">
      <c r="A283" t="s">
        <v>146</v>
      </c>
      <c r="B283">
        <v>0</v>
      </c>
      <c r="C283">
        <v>0</v>
      </c>
      <c r="D283" s="9">
        <f>Supuestos!$D$23*Supuestos!$D$24</f>
        <v>220000</v>
      </c>
      <c r="E283" s="9">
        <f>0</f>
        <v>0</v>
      </c>
      <c r="F283" s="9">
        <f>0</f>
        <v>0</v>
      </c>
    </row>
    <row r="284" spans="1:6" x14ac:dyDescent="0.25">
      <c r="A284" t="s">
        <v>147</v>
      </c>
      <c r="B284">
        <v>0</v>
      </c>
      <c r="C284">
        <v>0</v>
      </c>
      <c r="D284" s="9">
        <f>D275*Supuestos!$D$25/1000*Supuestos!$D$26*Supuestos!$D$27</f>
        <v>193551.61410000006</v>
      </c>
      <c r="E284" s="9">
        <f>E275*Supuestos!$D$25/1000*Supuestos!$D$26*Supuestos!$D$27</f>
        <v>261294.67903500007</v>
      </c>
      <c r="F284" s="9">
        <f>F275*Supuestos!$D$25/1000*Supuestos!$D$26*Supuestos!$D$27</f>
        <v>352747.8166972501</v>
      </c>
    </row>
    <row r="285" spans="1:6" x14ac:dyDescent="0.25">
      <c r="A285" t="s">
        <v>148</v>
      </c>
      <c r="B285">
        <v>0</v>
      </c>
      <c r="C285">
        <v>0</v>
      </c>
      <c r="D285" s="9">
        <f>(D277*Supuestos!$D$28+D278*Supuestos!$D$29)*Supuestos!$D$30*Supuestos!$D$31*Supuestos!$D$17</f>
        <v>104053.34774016002</v>
      </c>
      <c r="E285" s="9">
        <f>(E277*Supuestos!$D$28+E278*Supuestos!$D$29)*Supuestos!$D$30*Supuestos!$D$31*Supuestos!$D$17</f>
        <v>213309.36286732802</v>
      </c>
      <c r="F285" s="9">
        <f>(F277*Supuestos!$D$28+F278*Supuestos!$D$29)*Supuestos!$D$30*Supuestos!$D$31*Supuestos!$D$17</f>
        <v>338953.78026357124</v>
      </c>
    </row>
    <row r="286" spans="1:6" s="8" customFormat="1" x14ac:dyDescent="0.25">
      <c r="A286" s="8" t="s">
        <v>149</v>
      </c>
      <c r="B286" s="8">
        <v>0</v>
      </c>
      <c r="C286" s="8">
        <v>0</v>
      </c>
      <c r="D286" s="10">
        <f>D279+D280+D281+D282+D283+D284+D285</f>
        <v>955369.2834428803</v>
      </c>
      <c r="E286" s="10">
        <f>E279+E280+E281+E282+E283+E284+E285</f>
        <v>1184532.9011879042</v>
      </c>
      <c r="F286" s="10">
        <f>F279+F280+F281+F282+F283+F284+F285</f>
        <v>1714619.674581682</v>
      </c>
    </row>
    <row r="287" spans="1:6" x14ac:dyDescent="0.25">
      <c r="A287" t="s">
        <v>150</v>
      </c>
      <c r="B287">
        <v>0</v>
      </c>
      <c r="C287">
        <v>0</v>
      </c>
      <c r="D287" s="9">
        <f>-Supuestos!$D$33*Supuestos!$D$44</f>
        <v>-100000</v>
      </c>
      <c r="E287" s="9">
        <f>-Supuestos!$D$33*Supuestos!$D$44</f>
        <v>-100000</v>
      </c>
      <c r="F287" s="9">
        <f>-Supuestos!$D$33*Supuestos!$D$44</f>
        <v>-100000</v>
      </c>
    </row>
    <row r="288" spans="1:6" x14ac:dyDescent="0.25">
      <c r="A288" t="s">
        <v>151</v>
      </c>
      <c r="B288">
        <v>0</v>
      </c>
      <c r="C288">
        <v>0</v>
      </c>
      <c r="D288" s="9">
        <f>-Supuestos!$D$34*Supuestos!$D$44</f>
        <v>-50000</v>
      </c>
      <c r="E288" s="9">
        <f>-Supuestos!$D$34*Supuestos!$D$44</f>
        <v>-50000</v>
      </c>
      <c r="F288" s="9">
        <f>-Supuestos!$D$34*Supuestos!$D$44</f>
        <v>-50000</v>
      </c>
    </row>
    <row r="289" spans="1:6" x14ac:dyDescent="0.25">
      <c r="A289" t="s">
        <v>152</v>
      </c>
      <c r="B289">
        <v>0</v>
      </c>
      <c r="C289">
        <v>0</v>
      </c>
      <c r="D289" s="9">
        <f>-Supuestos!$D$35*Supuestos!$D$44</f>
        <v>-50000</v>
      </c>
      <c r="E289" s="9">
        <f>-Supuestos!$D$35*Supuestos!$D$44</f>
        <v>-50000</v>
      </c>
      <c r="F289" s="9">
        <f>-Supuestos!$D$35*Supuestos!$D$44</f>
        <v>-50000</v>
      </c>
    </row>
    <row r="290" spans="1:6" x14ac:dyDescent="0.25">
      <c r="A290" t="s">
        <v>153</v>
      </c>
      <c r="B290">
        <v>0</v>
      </c>
      <c r="C290">
        <v>0</v>
      </c>
      <c r="D290" s="9">
        <f>-Supuestos!$D$36*Supuestos!$D$44</f>
        <v>-140000</v>
      </c>
      <c r="E290" s="9">
        <f>-Supuestos!$D$37*Supuestos!$D$44</f>
        <v>-20000</v>
      </c>
      <c r="F290" s="9">
        <f>-Supuestos!$D$37*Supuestos!$D$44</f>
        <v>-20000</v>
      </c>
    </row>
    <row r="291" spans="1:6" x14ac:dyDescent="0.25">
      <c r="A291" t="s">
        <v>154</v>
      </c>
      <c r="B291">
        <v>0</v>
      </c>
      <c r="C291">
        <v>0</v>
      </c>
      <c r="D291" s="9">
        <f>-Supuestos!$D$38*Supuestos!$D$44</f>
        <v>-60000</v>
      </c>
      <c r="E291" s="9">
        <f>-Supuestos!$D$39*Supuestos!$D$44</f>
        <v>-25000</v>
      </c>
      <c r="F291" s="9">
        <f>-Supuestos!$D$39*Supuestos!$D$44</f>
        <v>-25000</v>
      </c>
    </row>
    <row r="292" spans="1:6" x14ac:dyDescent="0.25">
      <c r="A292" t="s">
        <v>155</v>
      </c>
      <c r="B292">
        <v>0</v>
      </c>
      <c r="C292">
        <v>0</v>
      </c>
      <c r="D292" s="9">
        <f>-D278*Supuestos!$D$12</f>
        <v>-37161.90990720001</v>
      </c>
      <c r="E292" s="9">
        <f>-E278*Supuestos!$D$12</f>
        <v>-76181.91530976</v>
      </c>
      <c r="F292" s="9">
        <f>-F278*Supuestos!$D$12</f>
        <v>-121054.92152270403</v>
      </c>
    </row>
    <row r="293" spans="1:6" x14ac:dyDescent="0.25">
      <c r="A293" t="s">
        <v>156</v>
      </c>
      <c r="B293">
        <v>0</v>
      </c>
      <c r="C293">
        <v>0</v>
      </c>
      <c r="D293" s="9">
        <f>-Supuestos!$D$18*Supuestos!$D$41</f>
        <v>-80000</v>
      </c>
      <c r="E293" s="9">
        <f>0</f>
        <v>0</v>
      </c>
      <c r="F293" s="9">
        <f>0</f>
        <v>0</v>
      </c>
    </row>
    <row r="294" spans="1:6" x14ac:dyDescent="0.25">
      <c r="A294" t="s">
        <v>157</v>
      </c>
      <c r="B294">
        <v>0</v>
      </c>
      <c r="C294">
        <v>0</v>
      </c>
      <c r="D294" s="9">
        <f>0</f>
        <v>0</v>
      </c>
      <c r="E294" s="9">
        <f>0</f>
        <v>0</v>
      </c>
      <c r="F294" s="9">
        <f>0</f>
        <v>0</v>
      </c>
    </row>
    <row r="295" spans="1:6" s="8" customFormat="1" x14ac:dyDescent="0.25">
      <c r="A295" s="8" t="s">
        <v>158</v>
      </c>
      <c r="B295" s="8">
        <v>0</v>
      </c>
      <c r="C295" s="8">
        <v>0</v>
      </c>
      <c r="D295" s="10">
        <f>-(D287+D288+D289+D290+D291+D292+D293+D294)</f>
        <v>517161.9099072</v>
      </c>
      <c r="E295" s="10">
        <f>-(E287+E288+E289+E290+E291+E292+E293+E294)</f>
        <v>321181.91530976</v>
      </c>
      <c r="F295" s="10">
        <f>-(F287+F288+F289+F290+F291+F292+F293+F294)</f>
        <v>366054.921522704</v>
      </c>
    </row>
    <row r="296" spans="1:6" s="8" customFormat="1" x14ac:dyDescent="0.25">
      <c r="A296" s="8" t="s">
        <v>159</v>
      </c>
      <c r="B296" s="8">
        <v>0</v>
      </c>
      <c r="C296" s="8">
        <v>0</v>
      </c>
      <c r="D296" s="10">
        <f>D286-D295</f>
        <v>438207.37353568024</v>
      </c>
      <c r="E296" s="10">
        <f>E286-E295</f>
        <v>863350.9858781442</v>
      </c>
      <c r="F296" s="10">
        <f>F286-F295</f>
        <v>1348564.7530589781</v>
      </c>
    </row>
    <row r="297" spans="1:6" x14ac:dyDescent="0.25">
      <c r="A297" t="s">
        <v>160</v>
      </c>
      <c r="B297">
        <v>0</v>
      </c>
      <c r="C297">
        <v>0</v>
      </c>
      <c r="D297" s="9">
        <f>D296</f>
        <v>438207.37353568024</v>
      </c>
      <c r="E297" s="9">
        <f>E296+D297</f>
        <v>1301558.3594138245</v>
      </c>
      <c r="F297" s="9">
        <f>F296+E297</f>
        <v>2650123.1124728024</v>
      </c>
    </row>
    <row r="298" spans="1:1" x14ac:dyDescent="0.25">
      <c r="A298" s="2" t="s">
        <v>133</v>
      </c>
    </row>
    <row r="299" spans="1:6" x14ac:dyDescent="0.25">
      <c r="A299" t="s">
        <v>137</v>
      </c>
      <c r="B299">
        <v>0</v>
      </c>
      <c r="C299">
        <v>0</v>
      </c>
      <c r="D299">
        <v>0</v>
      </c>
      <c r="E299" s="9">
        <f>$B$6*Supuestos!$D$4</f>
        <v>702065.13</v>
      </c>
      <c r="F299" s="9">
        <f>$B$6*Supuestos!$D$4</f>
        <v>702065.13</v>
      </c>
    </row>
    <row r="300" spans="1:6" x14ac:dyDescent="0.25">
      <c r="A300" t="s">
        <v>138</v>
      </c>
      <c r="B300">
        <v>0</v>
      </c>
      <c r="C300">
        <v>0</v>
      </c>
      <c r="D300">
        <v>0</v>
      </c>
      <c r="E300" s="9">
        <f>MIN(E299*Supuestos!$D$5*$C$6*(1+Supuestos!$D$6)^0,E299*0.9)</f>
        <v>315929.3085</v>
      </c>
      <c r="F300" s="9">
        <f>MIN(F299*Supuestos!$D$5*$C$6*(1+Supuestos!$D$6)^1,F299*0.9)</f>
        <v>426504.566475</v>
      </c>
    </row>
    <row r="301" spans="1:6" x14ac:dyDescent="0.25">
      <c r="A301" t="s">
        <v>139</v>
      </c>
      <c r="B301">
        <v>0</v>
      </c>
      <c r="C301">
        <v>0</v>
      </c>
      <c r="D301">
        <v>0</v>
      </c>
      <c r="E301" s="9">
        <f>E300*Supuestos!$D$8</f>
        <v>37911.51702</v>
      </c>
      <c r="F301" s="9">
        <f>F300*Supuestos!$D$8</f>
        <v>51180.547976999995</v>
      </c>
    </row>
    <row r="302" spans="1:6" x14ac:dyDescent="0.25">
      <c r="A302" t="s">
        <v>140</v>
      </c>
      <c r="B302">
        <v>0</v>
      </c>
      <c r="C302">
        <v>0</v>
      </c>
      <c r="D302">
        <v>0</v>
      </c>
      <c r="E302" s="9">
        <f>E301</f>
        <v>37911.51702</v>
      </c>
      <c r="F302" s="9">
        <f>F301+E302*Supuestos!$D$9</f>
        <v>77718.609891</v>
      </c>
    </row>
    <row r="303" spans="1:6" x14ac:dyDescent="0.25">
      <c r="A303" t="s">
        <v>141</v>
      </c>
      <c r="B303">
        <v>0</v>
      </c>
      <c r="C303">
        <v>0</v>
      </c>
      <c r="D303">
        <v>0</v>
      </c>
      <c r="E303" s="9">
        <f>E302*Supuestos!$D$10</f>
        <v>2274.6910212</v>
      </c>
      <c r="F303" s="9">
        <f>F302*Supuestos!$D$10</f>
        <v>4663.116593459999</v>
      </c>
    </row>
    <row r="304" spans="1:6" x14ac:dyDescent="0.25">
      <c r="A304" t="s">
        <v>142</v>
      </c>
      <c r="B304">
        <v>0</v>
      </c>
      <c r="C304">
        <v>0</v>
      </c>
      <c r="D304">
        <v>0</v>
      </c>
      <c r="E304" s="9">
        <f>E303*Supuestos!$D$11</f>
        <v>156953.6804628</v>
      </c>
      <c r="F304" s="9">
        <f>F303*Supuestos!$D$11</f>
        <v>321755.04494873993</v>
      </c>
    </row>
    <row r="305" spans="1:6" x14ac:dyDescent="0.25">
      <c r="A305" t="s">
        <v>143</v>
      </c>
      <c r="B305">
        <v>0</v>
      </c>
      <c r="C305">
        <v>0</v>
      </c>
      <c r="D305">
        <v>0</v>
      </c>
      <c r="E305" s="9">
        <f>(E302*Supuestos!$D$14+E303*Supuestos!$D$15)*Supuestos!$D$16*Supuestos!$D$17</f>
        <v>96901.83750311998</v>
      </c>
      <c r="F305" s="9">
        <f>(F302*Supuestos!$D$14+F303*Supuestos!$D$15)*Supuestos!$D$16*Supuestos!$D$17</f>
        <v>198648.76688139598</v>
      </c>
    </row>
    <row r="306" spans="1:6" x14ac:dyDescent="0.25">
      <c r="A306" t="s">
        <v>144</v>
      </c>
      <c r="B306">
        <v>0</v>
      </c>
      <c r="C306">
        <v>0</v>
      </c>
      <c r="D306">
        <v>0</v>
      </c>
      <c r="E306" s="9">
        <f>Supuestos!$D$18*Supuestos!$D$19</f>
        <v>80000</v>
      </c>
      <c r="F306" s="9">
        <f>Supuestos!$D$18*Supuestos!$D$19</f>
        <v>80000</v>
      </c>
    </row>
    <row r="307" spans="1:6" x14ac:dyDescent="0.25">
      <c r="A307" t="s">
        <v>145</v>
      </c>
      <c r="B307">
        <v>0</v>
      </c>
      <c r="C307">
        <v>0</v>
      </c>
      <c r="D307">
        <v>0</v>
      </c>
      <c r="E307" s="9">
        <f>Supuestos!$D$20*2*Supuestos!$D$21*(1-Supuestos!$D$22)</f>
        <v>98560.00000000001</v>
      </c>
      <c r="F307" s="9">
        <f>Supuestos!$D$20*2*Supuestos!$D$21*(1-Supuestos!$D$22)</f>
        <v>98560.00000000001</v>
      </c>
    </row>
    <row r="308" spans="1:6" x14ac:dyDescent="0.25">
      <c r="A308" t="s">
        <v>146</v>
      </c>
      <c r="B308">
        <v>0</v>
      </c>
      <c r="C308">
        <v>0</v>
      </c>
      <c r="D308">
        <v>0</v>
      </c>
      <c r="E308" s="9">
        <f>Supuestos!$D$23*Supuestos!$D$24</f>
        <v>220000</v>
      </c>
      <c r="F308" s="9">
        <f>0</f>
        <v>0</v>
      </c>
    </row>
    <row r="309" spans="1:6" x14ac:dyDescent="0.25">
      <c r="A309" t="s">
        <v>147</v>
      </c>
      <c r="B309">
        <v>0</v>
      </c>
      <c r="C309">
        <v>0</v>
      </c>
      <c r="D309">
        <v>0</v>
      </c>
      <c r="E309" s="9">
        <f>E300*Supuestos!$D$25/1000*Supuestos!$D$26*Supuestos!$D$27</f>
        <v>189557.5851</v>
      </c>
      <c r="F309" s="9">
        <f>F300*Supuestos!$D$25/1000*Supuestos!$D$26*Supuestos!$D$27</f>
        <v>255902.73988500002</v>
      </c>
    </row>
    <row r="310" spans="1:6" x14ac:dyDescent="0.25">
      <c r="A310" t="s">
        <v>148</v>
      </c>
      <c r="B310">
        <v>0</v>
      </c>
      <c r="C310">
        <v>0</v>
      </c>
      <c r="D310">
        <v>0</v>
      </c>
      <c r="E310" s="9">
        <f>(E302*Supuestos!$D$28+E303*Supuestos!$D$29)*Supuestos!$D$30*Supuestos!$D$31*Supuestos!$D$17</f>
        <v>101906.15774975998</v>
      </c>
      <c r="F310" s="9">
        <f>(F302*Supuestos!$D$28+F303*Supuestos!$D$29)*Supuestos!$D$30*Supuestos!$D$31*Supuestos!$D$17</f>
        <v>208907.62338700794</v>
      </c>
    </row>
    <row r="311" spans="1:6" s="8" customFormat="1" x14ac:dyDescent="0.25">
      <c r="A311" s="8" t="s">
        <v>149</v>
      </c>
      <c r="B311" s="8">
        <v>0</v>
      </c>
      <c r="C311" s="8">
        <v>0</v>
      </c>
      <c r="D311" s="8">
        <v>0</v>
      </c>
      <c r="E311" s="10">
        <f>E304+E305+E306+E307+E308+E309+E310</f>
        <v>943879.26081568</v>
      </c>
      <c r="F311" s="10">
        <f>F304+F305+F306+F307+F308+F309+F310</f>
        <v>1163774.1751021438</v>
      </c>
    </row>
    <row r="312" spans="1:6" x14ac:dyDescent="0.25">
      <c r="A312" t="s">
        <v>150</v>
      </c>
      <c r="B312">
        <v>0</v>
      </c>
      <c r="C312">
        <v>0</v>
      </c>
      <c r="D312">
        <v>0</v>
      </c>
      <c r="E312" s="9">
        <f>-Supuestos!$D$33*Supuestos!$D$44</f>
        <v>-100000</v>
      </c>
      <c r="F312" s="9">
        <f>-Supuestos!$D$33*Supuestos!$D$44</f>
        <v>-100000</v>
      </c>
    </row>
    <row r="313" spans="1:6" x14ac:dyDescent="0.25">
      <c r="A313" t="s">
        <v>151</v>
      </c>
      <c r="B313">
        <v>0</v>
      </c>
      <c r="C313">
        <v>0</v>
      </c>
      <c r="D313">
        <v>0</v>
      </c>
      <c r="E313" s="9">
        <f>-Supuestos!$D$34*Supuestos!$D$44</f>
        <v>-50000</v>
      </c>
      <c r="F313" s="9">
        <f>-Supuestos!$D$34*Supuestos!$D$44</f>
        <v>-50000</v>
      </c>
    </row>
    <row r="314" spans="1:6" x14ac:dyDescent="0.25">
      <c r="A314" t="s">
        <v>152</v>
      </c>
      <c r="B314">
        <v>0</v>
      </c>
      <c r="C314">
        <v>0</v>
      </c>
      <c r="D314">
        <v>0</v>
      </c>
      <c r="E314" s="9">
        <f>-Supuestos!$D$35*Supuestos!$D$44</f>
        <v>-50000</v>
      </c>
      <c r="F314" s="9">
        <f>-Supuestos!$D$35*Supuestos!$D$44</f>
        <v>-50000</v>
      </c>
    </row>
    <row r="315" spans="1:6" x14ac:dyDescent="0.25">
      <c r="A315" t="s">
        <v>153</v>
      </c>
      <c r="B315">
        <v>0</v>
      </c>
      <c r="C315">
        <v>0</v>
      </c>
      <c r="D315">
        <v>0</v>
      </c>
      <c r="E315" s="9">
        <f>-Supuestos!$D$36*Supuestos!$D$44</f>
        <v>-140000</v>
      </c>
      <c r="F315" s="9">
        <f>-Supuestos!$D$37*Supuestos!$D$44</f>
        <v>-20000</v>
      </c>
    </row>
    <row r="316" spans="1:6" x14ac:dyDescent="0.25">
      <c r="A316" t="s">
        <v>154</v>
      </c>
      <c r="B316">
        <v>0</v>
      </c>
      <c r="C316">
        <v>0</v>
      </c>
      <c r="D316">
        <v>0</v>
      </c>
      <c r="E316" s="9">
        <f>-Supuestos!$D$38*Supuestos!$D$44</f>
        <v>-60000</v>
      </c>
      <c r="F316" s="9">
        <f>-Supuestos!$D$39*Supuestos!$D$44</f>
        <v>-25000</v>
      </c>
    </row>
    <row r="317" spans="1:6" x14ac:dyDescent="0.25">
      <c r="A317" t="s">
        <v>155</v>
      </c>
      <c r="B317">
        <v>0</v>
      </c>
      <c r="C317">
        <v>0</v>
      </c>
      <c r="D317">
        <v>0</v>
      </c>
      <c r="E317" s="9">
        <f>-E303*Supuestos!$D$12</f>
        <v>-36395.0563392</v>
      </c>
      <c r="F317" s="9">
        <f>-F303*Supuestos!$D$12</f>
        <v>-74609.86549535999</v>
      </c>
    </row>
    <row r="318" spans="1:6" x14ac:dyDescent="0.25">
      <c r="A318" t="s">
        <v>156</v>
      </c>
      <c r="B318">
        <v>0</v>
      </c>
      <c r="C318">
        <v>0</v>
      </c>
      <c r="D318">
        <v>0</v>
      </c>
      <c r="E318" s="9">
        <f>-Supuestos!$D$18*Supuestos!$D$41</f>
        <v>-80000</v>
      </c>
      <c r="F318" s="9">
        <f>0</f>
        <v>0</v>
      </c>
    </row>
    <row r="319" spans="1:6" x14ac:dyDescent="0.25">
      <c r="A319" t="s">
        <v>157</v>
      </c>
      <c r="B319">
        <v>0</v>
      </c>
      <c r="C319">
        <v>0</v>
      </c>
      <c r="D319">
        <v>0</v>
      </c>
      <c r="E319" s="9">
        <f>0</f>
        <v>0</v>
      </c>
      <c r="F319" s="9">
        <f>0</f>
        <v>0</v>
      </c>
    </row>
    <row r="320" spans="1:6" s="8" customFormat="1" x14ac:dyDescent="0.25">
      <c r="A320" s="8" t="s">
        <v>158</v>
      </c>
      <c r="B320" s="8">
        <v>0</v>
      </c>
      <c r="C320" s="8">
        <v>0</v>
      </c>
      <c r="D320" s="8">
        <v>0</v>
      </c>
      <c r="E320" s="10">
        <f>-(E312+E313+E314+E315+E316+E317+E318+E319)</f>
        <v>516395.0563392</v>
      </c>
      <c r="F320" s="10">
        <f>-(F312+F313+F314+F315+F316+F317+F318+F319)</f>
        <v>319609.86549536</v>
      </c>
    </row>
    <row r="321" spans="1:6" s="8" customFormat="1" x14ac:dyDescent="0.25">
      <c r="A321" s="8" t="s">
        <v>159</v>
      </c>
      <c r="B321" s="8">
        <v>0</v>
      </c>
      <c r="C321" s="8">
        <v>0</v>
      </c>
      <c r="D321" s="8">
        <v>0</v>
      </c>
      <c r="E321" s="10">
        <f>E311-E320</f>
        <v>427484.20447648</v>
      </c>
      <c r="F321" s="10">
        <f>F311-F320</f>
        <v>844164.3096067838</v>
      </c>
    </row>
    <row r="322" spans="1:6" x14ac:dyDescent="0.25">
      <c r="A322" t="s">
        <v>160</v>
      </c>
      <c r="B322">
        <v>0</v>
      </c>
      <c r="C322">
        <v>0</v>
      </c>
      <c r="D322">
        <v>0</v>
      </c>
      <c r="E322" s="9">
        <f>E321</f>
        <v>427484.20447648</v>
      </c>
      <c r="F322" s="9">
        <f>F321+E322</f>
        <v>1271648.514083264</v>
      </c>
    </row>
    <row r="323" spans="1:6" s="8" customFormat="1" x14ac:dyDescent="0.25">
      <c r="A323" s="8" t="s">
        <v>161</v>
      </c>
      <c r="B323" s="10">
        <f>B236+B261+B286+B311</f>
        <v>987021.2210713599</v>
      </c>
      <c r="C323" s="10">
        <f>C236+C261+C286+C311</f>
        <v>2620951.219251328</v>
      </c>
      <c r="D323" s="10">
        <f>D236+D261+D286+D311</f>
        <v>4707624.129535668</v>
      </c>
      <c r="E323" s="10">
        <f>E236+E261+E286+E311</f>
        <v>7243225.259650566</v>
      </c>
      <c r="F323" s="10">
        <f>F236+F261+F286+F311</f>
        <v>9434379.529656893</v>
      </c>
    </row>
    <row r="324" spans="1:6" s="8" customFormat="1" x14ac:dyDescent="0.25">
      <c r="A324" s="8" t="s">
        <v>162</v>
      </c>
      <c r="B324" s="10">
        <f>B245+B270+B295+B320</f>
        <v>959274.3862784</v>
      </c>
      <c r="C324" s="10">
        <f>C245+C270+C295+C320</f>
        <v>1515963.4540083199</v>
      </c>
      <c r="D324" s="10">
        <f>D245+D270+D295+D320</f>
        <v>1759272.695591168</v>
      </c>
      <c r="E324" s="10">
        <f>E245+E270+E295+E320</f>
        <v>2198887.6726803137</v>
      </c>
      <c r="F324" s="10">
        <f>F245+F270+F295+F320</f>
        <v>2172164.961266109</v>
      </c>
    </row>
    <row r="325" spans="1:6" x14ac:dyDescent="0.25">
      <c r="A325" t="s">
        <v>163</v>
      </c>
      <c r="B325" s="9">
        <f>B227+B252+B277+B302</f>
        <v>40910.81904</v>
      </c>
      <c r="C325" s="9">
        <f>C227+C252+C277+C302</f>
        <v>152045.264592</v>
      </c>
      <c r="D325" s="9">
        <f>D227+D252+D277+D302</f>
        <v>311742.39124080003</v>
      </c>
      <c r="E325" s="9">
        <f>E227+E252+E277+E302</f>
        <v>514466.32570866006</v>
      </c>
      <c r="F325" s="9">
        <f>F227+F252+F277+F302</f>
        <v>731421.834652197</v>
      </c>
    </row>
    <row r="326" spans="1:6" s="8" customFormat="1" x14ac:dyDescent="0.25">
      <c r="A326" s="8" t="s">
        <v>164</v>
      </c>
      <c r="B326" s="10">
        <f>B323-B324</f>
        <v>27746.83479295997</v>
      </c>
      <c r="C326" s="10">
        <f>C323-C324</f>
        <v>1104987.7652430083</v>
      </c>
      <c r="D326" s="10">
        <f>D323-D324</f>
        <v>2948351.4339444996</v>
      </c>
      <c r="E326" s="10">
        <f>E323-E324</f>
        <v>5044337.586970252</v>
      </c>
      <c r="F326" s="10">
        <f>F323-F324</f>
        <v>7262214.568390784</v>
      </c>
    </row>
    <row r="327" spans="1:6" x14ac:dyDescent="0.25">
      <c r="A327" t="s">
        <v>165</v>
      </c>
      <c r="B327" s="9">
        <f>B326</f>
        <v>27746.83479295997</v>
      </c>
      <c r="C327" s="9">
        <f>C326+B327</f>
        <v>1132734.6000359682</v>
      </c>
      <c r="D327" s="9">
        <f>D326+C327</f>
        <v>4081086.033980468</v>
      </c>
      <c r="E327" s="9">
        <f>E326+D327</f>
        <v>9125423.62095072</v>
      </c>
      <c r="F327" s="9">
        <f>F326+E327</f>
        <v>16387638.189341504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58" customWidth="1"/>
    <col min="2" max="4" width="17" customWidth="1"/>
    <col min="5" max="5" width="70" customWidth="1"/>
  </cols>
  <sheetData>
    <row r="1" spans="1:5" x14ac:dyDescent="0.25">
      <c r="A1" s="1" t="s">
        <v>168</v>
      </c>
      <c r="B1" s="1" t="s">
        <v>1</v>
      </c>
      <c r="C1" s="1" t="s">
        <v>2</v>
      </c>
      <c r="D1" s="1" t="s">
        <v>3</v>
      </c>
      <c r="E1" s="1" t="s">
        <v>169</v>
      </c>
    </row>
    <row r="2" spans="1:5" x14ac:dyDescent="0.25">
      <c r="A2" t="s">
        <v>170</v>
      </c>
      <c r="B2" s="9">
        <f>SUM('Modelo Houston'!B24:D24)</f>
        <v>1873979.32011</v>
      </c>
      <c r="C2" s="9">
        <f>SUM('Modelo Houston'!F24:H24)</f>
        <v>1952992.76863256</v>
      </c>
      <c r="D2" s="9">
        <f>SUM('Modelo Houston'!J24:L24)</f>
        <v>2147723.191451008</v>
      </c>
      <c r="E2" t="s">
        <v>31</v>
      </c>
    </row>
    <row r="3" spans="1:5" x14ac:dyDescent="0.25">
      <c r="A3" t="s">
        <v>171</v>
      </c>
      <c r="B3" s="9">
        <f>SUM('Modelo Houston'!B15:D15)</f>
        <v>306922.7169275</v>
      </c>
      <c r="C3" s="9">
        <f>SUM('Modelo Houston'!F15:H15)</f>
        <v>1154314.782107247</v>
      </c>
      <c r="D3" s="9">
        <f>SUM('Modelo Houston'!J15:L15)</f>
        <v>4030676.1586556034</v>
      </c>
      <c r="E3" t="s">
        <v>172</v>
      </c>
    </row>
    <row r="4" spans="1:5" x14ac:dyDescent="0.25">
      <c r="A4" t="s">
        <v>173</v>
      </c>
      <c r="B4" s="9">
        <f>SUM('Modelo Houston'!B25:D25)</f>
        <v>-1567056.6031825</v>
      </c>
      <c r="C4" s="9">
        <f>SUM('Modelo Houston'!F25:H25)</f>
        <v>-798677.986525313</v>
      </c>
      <c r="D4" s="9">
        <f>SUM('Modelo Houston'!J25:L25)</f>
        <v>1882952.9672045955</v>
      </c>
      <c r="E4" t="s">
        <v>95</v>
      </c>
    </row>
    <row r="5" spans="1:5" x14ac:dyDescent="0.25">
      <c r="A5" t="s">
        <v>174</v>
      </c>
      <c r="B5" s="9">
        <f>'Modelo Houston'!B25</f>
        <v>-757446.6470000001</v>
      </c>
      <c r="C5" s="9">
        <f>'Modelo Houston'!F25</f>
        <v>-537840.7831428</v>
      </c>
      <c r="D5" s="9">
        <f>'Modelo Houston'!J25</f>
        <v>27746.83479295997</v>
      </c>
      <c r="E5" t="s">
        <v>95</v>
      </c>
    </row>
    <row r="6" spans="1:5" x14ac:dyDescent="0.25">
      <c r="A6" t="s">
        <v>175</v>
      </c>
      <c r="B6" s="9">
        <f>'Modelo Houston'!C25</f>
        <v>-408668.59554999997</v>
      </c>
      <c r="C6" s="9">
        <f>'Modelo Houston'!G25</f>
        <v>-170336.06692618004</v>
      </c>
      <c r="D6" s="9">
        <f>'Modelo Houston'!K25</f>
        <v>671205.144685568</v>
      </c>
      <c r="E6" t="s">
        <v>95</v>
      </c>
    </row>
    <row r="7" spans="1:5" x14ac:dyDescent="0.25">
      <c r="A7" t="s">
        <v>176</v>
      </c>
      <c r="B7" s="9">
        <f>'Modelo Houston'!D25</f>
        <v>-400941.36063250003</v>
      </c>
      <c r="C7" s="9">
        <f>'Modelo Houston'!H25</f>
        <v>-90501.1364563331</v>
      </c>
      <c r="D7" s="9">
        <f>'Modelo Houston'!L25</f>
        <v>1184000.9877260672</v>
      </c>
      <c r="E7" t="s">
        <v>95</v>
      </c>
    </row>
    <row r="8" spans="1:5" x14ac:dyDescent="0.25">
      <c r="A8" t="s">
        <v>177</v>
      </c>
      <c r="B8" s="11">
        <f>(SUM('Modelo Houston'!B15:D15)-SUM('Modelo Houston'!B24:D24))/SUM('Modelo Houston'!B24:D24)</f>
        <v>-0.8362187279049141</v>
      </c>
      <c r="C8" s="11">
        <f>(SUM('Modelo Houston'!F15:H15)-SUM('Modelo Houston'!F24:H24))/SUM('Modelo Houston'!F24:H24)</f>
        <v>-0.40895081607728057</v>
      </c>
      <c r="D8" s="11">
        <f>(SUM('Modelo Houston'!J15:L15)-SUM('Modelo Houston'!J24:L24))/SUM('Modelo Houston'!J24:L24)</f>
        <v>0.8767205078846623</v>
      </c>
      <c r="E8" t="s">
        <v>95</v>
      </c>
    </row>
    <row r="9" spans="1:5" x14ac:dyDescent="0.25">
      <c r="A9" t="s">
        <v>178</v>
      </c>
      <c r="B9" s="9">
        <f>NPV(Supuestos!$B$43,'Modelo Houston'!B25:D25)</f>
        <v>-1249508.0956088377</v>
      </c>
      <c r="C9" s="9">
        <f>NPV(Supuestos!$C$43,'Modelo Houston'!F25:H25)</f>
        <v>-680422.7759628842</v>
      </c>
      <c r="D9" s="9">
        <f>NPV(Supuestos!$D$43,'Modelo Houston'!J25:L25)</f>
        <v>1469496.857234916</v>
      </c>
      <c r="E9" t="s">
        <v>95</v>
      </c>
    </row>
    <row r="10" spans="1:5" x14ac:dyDescent="0.25">
      <c r="A10" t="s">
        <v>179</v>
      </c>
      <c r="B10" s="9">
        <f>NPV(0.15,'Modelo Houston'!B25:D25)</f>
        <v>-1231286.8816783105</v>
      </c>
      <c r="C10" s="9">
        <f>NPV(0.15,'Modelo Houston'!F25:H25)</f>
        <v>-655992.1421075324</v>
      </c>
      <c r="D10" s="9">
        <f>NPV(0.15,'Modelo Houston'!J25:L25)</f>
        <v>1310155.0706850728</v>
      </c>
      <c r="E10" t="s">
        <v>180</v>
      </c>
    </row>
    <row r="11" spans="1:5" x14ac:dyDescent="0.25">
      <c r="A11" t="s">
        <v>181</v>
      </c>
      <c r="B11" s="9">
        <f>'Modelo Houston'!D6</f>
        <v>12515.097419999998</v>
      </c>
      <c r="C11" s="9">
        <f>'Modelo Houston'!H6</f>
        <v>49060.20174299998</v>
      </c>
      <c r="D11" s="9">
        <f>'Modelo Houston'!L6</f>
        <v>133266.99302280002</v>
      </c>
      <c r="E11" t="s">
        <v>182</v>
      </c>
    </row>
    <row r="12" spans="1:5" x14ac:dyDescent="0.25">
      <c r="A12" t="s">
        <v>183</v>
      </c>
      <c r="B12" s="9">
        <f>'Modelo Houston'!D7</f>
        <v>312.8774355</v>
      </c>
      <c r="C12" s="9">
        <f>'Modelo Houston'!H7</f>
        <v>1962.4080697199993</v>
      </c>
      <c r="D12" s="9">
        <f>'Modelo Houston'!L7</f>
        <v>7996.019581368</v>
      </c>
      <c r="E12" t="s">
        <v>184</v>
      </c>
    </row>
    <row r="13" spans="1:5" x14ac:dyDescent="0.25">
      <c r="A13" t="s">
        <v>185</v>
      </c>
      <c r="B13" s="12">
        <f>-SUM('Modelo Houston'!B25:D25)/'Modelo Houston'!D6</f>
        <v>125.21329643652908</v>
      </c>
      <c r="C13" s="12">
        <f>-SUM('Modelo Houston'!F25:H25)/'Modelo Houston'!H6</f>
        <v>16.279549576847593</v>
      </c>
      <c r="D13" s="12">
        <f>-SUM('Modelo Houston'!J25:L25)/'Modelo Houston'!L6</f>
        <v>-14.129177259086577</v>
      </c>
      <c r="E13" t="s">
        <v>186</v>
      </c>
    </row>
    <row r="14" spans="1:5" x14ac:dyDescent="0.25">
      <c r="A14" t="s">
        <v>187</v>
      </c>
      <c r="B14" s="9">
        <f>SUM('Modelo Houston'!B24:D24)/'Modelo Houston'!D7</f>
        <v>5989.499744892917</v>
      </c>
      <c r="C14" s="9">
        <f>SUM('Modelo Houston'!F24:H24)/'Modelo Houston'!H7</f>
        <v>995.2021696033983</v>
      </c>
      <c r="D14" s="9">
        <f>SUM('Modelo Houston'!J24:L24)/'Modelo Houston'!L7</f>
        <v>268.5990410097976</v>
      </c>
      <c r="E14" t="s">
        <v>188</v>
      </c>
    </row>
    <row r="16" spans="1:5" x14ac:dyDescent="0.25">
      <c r="A16" s="1" t="s">
        <v>189</v>
      </c>
      <c r="B16" s="1" t="s">
        <v>1</v>
      </c>
      <c r="C16" s="1" t="s">
        <v>2</v>
      </c>
      <c r="D16" s="1" t="s">
        <v>3</v>
      </c>
      <c r="E16" s="1" t="s">
        <v>95</v>
      </c>
    </row>
    <row r="17" spans="1:5" x14ac:dyDescent="0.25">
      <c r="A17" t="s">
        <v>190</v>
      </c>
      <c r="B17" s="9">
        <f>SUM('Red 5 años'!B110:F110)</f>
        <v>7465695.47776835</v>
      </c>
      <c r="C17" s="9">
        <f>SUM('Red 5 años'!B217:F217)</f>
        <v>7636434.453983205</v>
      </c>
      <c r="D17" s="9">
        <f>SUM('Red 5 años'!B324:F324)</f>
        <v>8605563.16982431</v>
      </c>
      <c r="E17" t="s">
        <v>95</v>
      </c>
    </row>
    <row r="18" spans="1:5" x14ac:dyDescent="0.25">
      <c r="A18" t="s">
        <v>191</v>
      </c>
      <c r="B18" s="9">
        <f>SUM('Red 5 años'!B109:F109)</f>
        <v>1562499.5603385877</v>
      </c>
      <c r="C18" s="9">
        <f>SUM('Red 5 años'!B216:F216)</f>
        <v>6615099.5033824025</v>
      </c>
      <c r="D18" s="9">
        <f>SUM('Red 5 años'!B323:F323)</f>
        <v>24993201.359165814</v>
      </c>
      <c r="E18" t="s">
        <v>95</v>
      </c>
    </row>
    <row r="19" spans="1:5" x14ac:dyDescent="0.25">
      <c r="A19" t="s">
        <v>192</v>
      </c>
      <c r="B19" s="9">
        <f>SUM('Red 5 años'!B112:F112)</f>
        <v>-5903195.917429763</v>
      </c>
      <c r="C19" s="9">
        <f>SUM('Red 5 años'!B219:F219)</f>
        <v>-1021334.9506008029</v>
      </c>
      <c r="D19" s="9">
        <f>SUM('Red 5 años'!B326:F326)</f>
        <v>16387638.189341504</v>
      </c>
      <c r="E19" t="s">
        <v>95</v>
      </c>
    </row>
    <row r="20" spans="1:5" x14ac:dyDescent="0.25">
      <c r="A20" t="s">
        <v>178</v>
      </c>
      <c r="B20" s="9">
        <f>NPV(Supuestos!$B$43,'Red 5 años'!B112:F112)</f>
        <v>-3920570.283944299</v>
      </c>
      <c r="C20" s="9">
        <f>NPV(Supuestos!$C$43,'Red 5 años'!B219:F219)</f>
        <v>-934844.7583546115</v>
      </c>
      <c r="D20" s="9">
        <f>NPV(Supuestos!$D$43,'Red 5 años'!B326:F326)</f>
        <v>11108191.818423802</v>
      </c>
      <c r="E20" t="s">
        <v>95</v>
      </c>
    </row>
    <row r="21" spans="1:5" x14ac:dyDescent="0.25">
      <c r="A21" t="s">
        <v>179</v>
      </c>
      <c r="B21" s="9">
        <f>NPV(0.15,'Red 5 años'!B112:F112)</f>
        <v>-3819228.795528005</v>
      </c>
      <c r="C21" s="9">
        <f>NPV(0.15,'Red 5 años'!B219:F219)</f>
        <v>-910405.116399017</v>
      </c>
      <c r="D21" s="9">
        <f>NPV(0.15,'Red 5 años'!B326:F326)</f>
        <v>9292966.627655609</v>
      </c>
      <c r="E21" t="s">
        <v>95</v>
      </c>
    </row>
    <row r="22" spans="1:5" x14ac:dyDescent="0.25">
      <c r="A22" t="s">
        <v>193</v>
      </c>
      <c r="B22" s="11">
        <f>(SUM('Red 5 años'!B109:F109)-SUM('Red 5 años'!B110:F110))/SUM('Red 5 años'!B110:F110)</f>
        <v>-0.7907094436156067</v>
      </c>
      <c r="C22" s="11">
        <f>(SUM('Red 5 años'!B216:F216)-SUM('Red 5 años'!B217:F217))/SUM('Red 5 años'!B217:F217)</f>
        <v>-0.13374500321522031</v>
      </c>
      <c r="D22" s="11">
        <f>(SUM('Red 5 años'!B323:F323)-SUM('Red 5 años'!B324:F324))/SUM('Red 5 años'!B324:F324)</f>
        <v>1.9043074655247778</v>
      </c>
      <c r="E22" t="s">
        <v>95</v>
      </c>
    </row>
    <row r="23" spans="1:5" x14ac:dyDescent="0.25">
      <c r="A23" t="s">
        <v>194</v>
      </c>
      <c r="B23" s="13" t="s">
        <v>195</v>
      </c>
      <c r="C23" s="13" t="s">
        <v>195</v>
      </c>
      <c r="D23" s="13" t="s">
        <v>96</v>
      </c>
      <c r="E23" t="s">
        <v>196</v>
      </c>
    </row>
    <row r="24" spans="1:5" x14ac:dyDescent="0.25">
      <c r="A24" t="s">
        <v>197</v>
      </c>
      <c r="B24" s="9">
        <f>'Red 5 años'!F111</f>
        <v>63704.8976787</v>
      </c>
      <c r="C24" s="9">
        <f>'Red 5 años'!F218</f>
        <v>270691.84967642993</v>
      </c>
      <c r="D24" s="9">
        <f>'Red 5 años'!F325</f>
        <v>731421.834652197</v>
      </c>
      <c r="E24" t="s">
        <v>198</v>
      </c>
    </row>
    <row r="25" spans="1:5" x14ac:dyDescent="0.25">
      <c r="A25" t="s">
        <v>199</v>
      </c>
      <c r="B25" s="12">
        <f>-SUM('Red 5 años'!B112:F112)/'Red 5 años'!F111</f>
        <v>92.66471076059072</v>
      </c>
      <c r="C25" s="12">
        <f>-SUM('Red 5 años'!B219:F219)/'Red 5 años'!F218</f>
        <v>3.773053942413302</v>
      </c>
      <c r="D25" s="12">
        <f>-SUM('Red 5 años'!B326:F326)/'Red 5 años'!F325</f>
        <v>-22.405180448480998</v>
      </c>
      <c r="E25" t="s">
        <v>200</v>
      </c>
    </row>
    <row r="27" spans="1:5" x14ac:dyDescent="0.25">
      <c r="A27" s="1" t="s">
        <v>201</v>
      </c>
      <c r="B27" s="1" t="s">
        <v>1</v>
      </c>
      <c r="C27" s="1" t="s">
        <v>2</v>
      </c>
      <c r="D27" s="1" t="s">
        <v>3</v>
      </c>
      <c r="E27" s="1" t="s">
        <v>202</v>
      </c>
    </row>
    <row r="28" spans="1:5" x14ac:dyDescent="0.25">
      <c r="A28" t="s">
        <v>203</v>
      </c>
      <c r="B28" s="9">
        <f>'Modelo Houston'!B25/(1+Supuestos!$B$43)</f>
        <v>-664426.8833333334</v>
      </c>
      <c r="C28" s="9">
        <f>NPV(Supuestos!$C$43,'Red 5 años'!B219:F219)</f>
        <v>-934844.7583546115</v>
      </c>
      <c r="D28" s="9">
        <f>NPV(Supuestos!$D$43,'Red 5 años'!B326:F326)</f>
        <v>11108191.818423802</v>
      </c>
      <c r="E28" t="s">
        <v>204</v>
      </c>
    </row>
    <row r="29" spans="1:2" x14ac:dyDescent="0.25">
      <c r="A29" t="s">
        <v>205</v>
      </c>
      <c r="B29" t="s">
        <v>206</v>
      </c>
    </row>
    <row r="30" spans="1:2" x14ac:dyDescent="0.25">
      <c r="A30" t="s">
        <v>207</v>
      </c>
      <c r="B30" t="s">
        <v>208</v>
      </c>
    </row>
    <row r="31" spans="1:2" x14ac:dyDescent="0.25">
      <c r="A31" t="s">
        <v>209</v>
      </c>
      <c r="B31" t="s">
        <v>210</v>
      </c>
    </row>
    <row r="32" spans="1:1" x14ac:dyDescent="0.25">
      <c r="A32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FormatPr defaultRowHeight="15" outlineLevelRow="0" outlineLevelCol="0" x14ac:dyDescent="55"/>
  <cols>
    <col min="1" max="1" width="66" customWidth="1"/>
    <col min="2" max="5" width="18" customWidth="1"/>
    <col min="6" max="6" width="70" customWidth="1"/>
  </cols>
  <sheetData>
    <row r="1" spans="1:1" x14ac:dyDescent="0.25">
      <c r="A1" s="1" t="s">
        <v>212</v>
      </c>
    </row>
    <row r="2" spans="1:6" x14ac:dyDescent="0.25">
      <c r="A2" t="s">
        <v>213</v>
      </c>
      <c r="B2" s="9">
        <v>40000</v>
      </c>
      <c r="C2" t="s">
        <v>95</v>
      </c>
      <c r="D2" t="s">
        <v>95</v>
      </c>
      <c r="E2" t="s">
        <v>95</v>
      </c>
      <c r="F2" t="s">
        <v>214</v>
      </c>
    </row>
    <row r="3" spans="1:6" x14ac:dyDescent="0.25">
      <c r="A3" t="s">
        <v>215</v>
      </c>
      <c r="B3" s="9">
        <f>SUM('Modelo Houston'!F24)</f>
        <v>913217.341536</v>
      </c>
      <c r="C3" t="s">
        <v>95</v>
      </c>
      <c r="D3" t="s">
        <v>95</v>
      </c>
      <c r="E3" t="s">
        <v>95</v>
      </c>
      <c r="F3" t="s">
        <v>216</v>
      </c>
    </row>
    <row r="4" spans="1:2" x14ac:dyDescent="0.25">
      <c r="A4" t="s">
        <v>217</v>
      </c>
      <c r="B4" s="9">
        <f>SUM('Modelo Houston'!G24:H24)</f>
        <v>1039775.42709656</v>
      </c>
    </row>
    <row r="5" spans="1:6" x14ac:dyDescent="0.25">
      <c r="A5" t="s">
        <v>218</v>
      </c>
      <c r="B5" s="9">
        <f>SUM('Red 5 años'!B217:F217)-SUM('Modelo Houston'!F24:H24)</f>
        <v>5683441.685350645</v>
      </c>
      <c r="C5" t="s">
        <v>95</v>
      </c>
      <c r="D5" t="s">
        <v>95</v>
      </c>
      <c r="E5" t="s">
        <v>95</v>
      </c>
      <c r="F5" t="s">
        <v>219</v>
      </c>
    </row>
    <row r="6" spans="1:2" x14ac:dyDescent="0.25">
      <c r="A6" t="s">
        <v>220</v>
      </c>
      <c r="B6" s="9">
        <f>SUM('Red 5 años'!B217:F217)</f>
        <v>7636434.453983205</v>
      </c>
    </row>
    <row r="7" spans="1:2" x14ac:dyDescent="0.25">
      <c r="A7" t="s">
        <v>221</v>
      </c>
      <c r="B7" s="9">
        <v>757446.6470000001</v>
      </c>
    </row>
    <row r="9" spans="1:1" x14ac:dyDescent="0.25">
      <c r="A9" s="1" t="s">
        <v>222</v>
      </c>
    </row>
    <row r="10" spans="1:6" x14ac:dyDescent="0.25">
      <c r="A10" t="s">
        <v>223</v>
      </c>
      <c r="B10" s="7">
        <v>14.59</v>
      </c>
      <c r="C10" t="s">
        <v>95</v>
      </c>
      <c r="D10" t="s">
        <v>95</v>
      </c>
      <c r="E10" t="s">
        <v>95</v>
      </c>
      <c r="F10" t="s">
        <v>224</v>
      </c>
    </row>
    <row r="11" spans="1:6" x14ac:dyDescent="0.25">
      <c r="A11" t="s">
        <v>225</v>
      </c>
      <c r="B11" s="7">
        <v>27.39</v>
      </c>
      <c r="C11" t="s">
        <v>95</v>
      </c>
      <c r="D11" t="s">
        <v>95</v>
      </c>
      <c r="E11" t="s">
        <v>95</v>
      </c>
      <c r="F11" t="s">
        <v>226</v>
      </c>
    </row>
    <row r="12" spans="1:2" x14ac:dyDescent="0.25">
      <c r="A12" t="s">
        <v>227</v>
      </c>
      <c r="B12" s="14">
        <v>36.07794049947558</v>
      </c>
    </row>
    <row r="13" spans="1:2" x14ac:dyDescent="0.25">
      <c r="A13" t="s">
        <v>228</v>
      </c>
      <c r="B13" s="14">
        <v>22.904938260056117</v>
      </c>
    </row>
    <row r="14" spans="1:2" x14ac:dyDescent="0.25">
      <c r="A14" t="s">
        <v>229</v>
      </c>
      <c r="B14" s="9">
        <v>13347</v>
      </c>
    </row>
    <row r="15" spans="1:2" x14ac:dyDescent="0.25">
      <c r="A15" t="s">
        <v>230</v>
      </c>
      <c r="B15" s="9">
        <v>19469</v>
      </c>
    </row>
    <row r="17" spans="1:1" x14ac:dyDescent="0.25">
      <c r="A17" s="1" t="s">
        <v>231</v>
      </c>
    </row>
    <row r="18" spans="1:6" s="8" customFormat="1" x14ac:dyDescent="0.25">
      <c r="A18" s="8" t="s">
        <v>95</v>
      </c>
      <c r="B18" s="8" t="s">
        <v>232</v>
      </c>
      <c r="C18" s="8" t="s">
        <v>233</v>
      </c>
      <c r="D18" s="8" t="s">
        <v>234</v>
      </c>
      <c r="E18" s="8" t="s">
        <v>235</v>
      </c>
      <c r="F18" s="8" t="s">
        <v>236</v>
      </c>
    </row>
    <row r="19" spans="1:6" x14ac:dyDescent="0.25">
      <c r="A19" t="s">
        <v>237</v>
      </c>
      <c r="B19" s="9">
        <v>1952992.76863256</v>
      </c>
      <c r="C19" s="9">
        <v>1154314.782107247</v>
      </c>
      <c r="D19" s="9">
        <v>49060.20174299998</v>
      </c>
      <c r="E19" s="14">
        <v>16.279549576847593</v>
      </c>
      <c r="F19" t="s">
        <v>238</v>
      </c>
    </row>
    <row r="20" spans="1:6" x14ac:dyDescent="0.25">
      <c r="A20" t="s">
        <v>239</v>
      </c>
      <c r="B20" s="9">
        <v>7636434.453983205</v>
      </c>
      <c r="C20" s="9">
        <v>6615099.5033824025</v>
      </c>
      <c r="D20" s="9">
        <v>270691.84967642993</v>
      </c>
      <c r="E20" s="14">
        <v>3.773053942413302</v>
      </c>
      <c r="F20" t="s">
        <v>240</v>
      </c>
    </row>
    <row r="21" spans="1:3" x14ac:dyDescent="0.25">
      <c r="A21" t="s">
        <v>241</v>
      </c>
      <c r="B21" s="14">
        <v>10.488214288453158</v>
      </c>
      <c r="C21" s="14">
        <v>4.431581178379852</v>
      </c>
    </row>
    <row r="23" spans="1:1" x14ac:dyDescent="0.25">
      <c r="A23" s="1" t="s">
        <v>242</v>
      </c>
    </row>
    <row r="24" spans="1:5" s="8" customFormat="1" x14ac:dyDescent="0.25">
      <c r="A24" s="8" t="s">
        <v>243</v>
      </c>
      <c r="B24" s="8" t="s">
        <v>232</v>
      </c>
      <c r="C24" s="8" t="s">
        <v>244</v>
      </c>
      <c r="D24" s="8" t="s">
        <v>245</v>
      </c>
      <c r="E24" s="8" t="s">
        <v>235</v>
      </c>
    </row>
    <row r="25" spans="1:5" x14ac:dyDescent="0.25">
      <c r="A25" t="s">
        <v>246</v>
      </c>
      <c r="B25" s="9">
        <v>1952992.76863256</v>
      </c>
      <c r="C25" s="9">
        <v>1154314.782107247</v>
      </c>
      <c r="D25" s="9">
        <v>49060.20174299998</v>
      </c>
      <c r="E25" s="14">
        <v>16.279549576847593</v>
      </c>
    </row>
    <row r="26" spans="1:5" x14ac:dyDescent="0.25">
      <c r="A26" t="s">
        <v>247</v>
      </c>
      <c r="B26" s="9">
        <v>1961642.81580934</v>
      </c>
      <c r="C26" s="9">
        <v>1638540.5360592518</v>
      </c>
      <c r="D26" s="9">
        <v>81759.07279574999</v>
      </c>
      <c r="E26" s="14">
        <v>3.9518828761336415</v>
      </c>
    </row>
    <row r="27" spans="1:5" x14ac:dyDescent="0.25">
      <c r="A27" t="s">
        <v>248</v>
      </c>
      <c r="B27" s="9">
        <v>1197066.6602037298</v>
      </c>
      <c r="C27" s="9">
        <v>1115237.2698668288</v>
      </c>
      <c r="D27" s="9">
        <v>46421.36949712499</v>
      </c>
      <c r="E27" s="14">
        <v>1.7627526120695098</v>
      </c>
    </row>
    <row r="28" spans="1:5" x14ac:dyDescent="0.25">
      <c r="A28" t="s">
        <v>249</v>
      </c>
      <c r="B28" s="9">
        <v>1195641.43704003</v>
      </c>
      <c r="C28" s="9">
        <v>1101051.6770248576</v>
      </c>
      <c r="D28" s="9">
        <v>45463.44260587499</v>
      </c>
      <c r="E28" s="14">
        <v>2.080567475612793</v>
      </c>
    </row>
    <row r="30" spans="1:1" x14ac:dyDescent="0.25">
      <c r="A30" s="1" t="s">
        <v>250</v>
      </c>
    </row>
    <row r="31" spans="1:6" x14ac:dyDescent="0.25">
      <c r="A31" t="s">
        <v>251</v>
      </c>
      <c r="B31" s="9">
        <v>690000</v>
      </c>
      <c r="C31" t="s">
        <v>95</v>
      </c>
      <c r="D31" t="s">
        <v>95</v>
      </c>
      <c r="E31" t="s">
        <v>95</v>
      </c>
      <c r="F31" t="s">
        <v>252</v>
      </c>
    </row>
    <row r="32" spans="1:6" x14ac:dyDescent="0.25">
      <c r="A32" t="s">
        <v>253</v>
      </c>
      <c r="B32" s="9">
        <v>1795244.10764</v>
      </c>
      <c r="C32" s="9">
        <v>913217.341536</v>
      </c>
      <c r="D32" t="s">
        <v>95</v>
      </c>
      <c r="E32" t="s">
        <v>95</v>
      </c>
      <c r="F32" t="s">
        <v>254</v>
      </c>
    </row>
    <row r="33" spans="1:3" x14ac:dyDescent="0.25">
      <c r="A33" t="s">
        <v>255</v>
      </c>
      <c r="B33" s="9">
        <v>-660925.5848769299</v>
      </c>
      <c r="C33" s="9">
        <v>-662805.3697307565</v>
      </c>
    </row>
    <row r="34" spans="1:6" x14ac:dyDescent="0.25">
      <c r="A34" t="s">
        <v>256</v>
      </c>
      <c r="B34" s="9">
        <v>-1618688.486094101</v>
      </c>
      <c r="C34" s="9">
        <v>-1162879.3965360683</v>
      </c>
      <c r="D34" t="s">
        <v>95</v>
      </c>
      <c r="E34" t="s">
        <v>95</v>
      </c>
      <c r="F34" t="s">
        <v>257</v>
      </c>
    </row>
    <row r="35" spans="1:6" x14ac:dyDescent="0.25">
      <c r="A35" t="s">
        <v>258</v>
      </c>
      <c r="B35" s="9">
        <v>334444.9600185435</v>
      </c>
      <c r="C35" t="s">
        <v>95</v>
      </c>
      <c r="D35" t="s">
        <v>95</v>
      </c>
      <c r="E35" t="s">
        <v>95</v>
      </c>
      <c r="F35" t="s">
        <v>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58" customWidth="1"/>
    <col min="2" max="6" width="16" customWidth="1"/>
  </cols>
  <sheetData>
    <row r="1" spans="1:6" x14ac:dyDescent="0.25">
      <c r="A1" s="1" t="s">
        <v>260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265</v>
      </c>
    </row>
    <row r="2" spans="1:6" x14ac:dyDescent="0.25">
      <c r="A2" t="s">
        <v>266</v>
      </c>
      <c r="B2" s="9">
        <v>-904810.6210756687</v>
      </c>
      <c r="C2" s="15">
        <v>0.0881</v>
      </c>
      <c r="D2" s="9">
        <v>-1685450.6176233296</v>
      </c>
      <c r="E2" s="9">
        <v>-961212.4256212056</v>
      </c>
      <c r="F2" s="9">
        <v>-54220.56507751264</v>
      </c>
    </row>
    <row r="3" spans="1:6" x14ac:dyDescent="0.25">
      <c r="A3" t="s">
        <v>267</v>
      </c>
      <c r="B3" s="9">
        <v>-662805.3697307565</v>
      </c>
      <c r="C3" s="15">
        <v>0.08795</v>
      </c>
      <c r="D3" s="9">
        <v>-1162879.3965360683</v>
      </c>
      <c r="E3" s="9">
        <v>-746802.8627034164</v>
      </c>
      <c r="F3" s="9">
        <v>-56133.666306928266</v>
      </c>
    </row>
    <row r="4" spans="1:6" x14ac:dyDescent="0.25">
      <c r="A4" t="s">
        <v>268</v>
      </c>
      <c r="B4" s="9">
        <v>10.488214288453158</v>
      </c>
      <c r="C4" t="s">
        <v>95</v>
      </c>
      <c r="D4" s="9">
        <v>-0.9999283800318515</v>
      </c>
      <c r="E4" s="9">
        <v>4.431581178379852</v>
      </c>
      <c r="F4" s="9">
        <v>27.66929406660292</v>
      </c>
    </row>
    <row r="5" spans="1:6" x14ac:dyDescent="0.25">
      <c r="A5" t="s">
        <v>269</v>
      </c>
      <c r="B5" s="9">
        <v>-2085726.6884381832</v>
      </c>
      <c r="C5" s="15">
        <v>0.00015</v>
      </c>
      <c r="D5" s="9">
        <v>-3045957.782773945</v>
      </c>
      <c r="E5" s="9">
        <v>-2162526.845129076</v>
      </c>
      <c r="F5" s="9">
        <v>-1261629.6390473712</v>
      </c>
    </row>
    <row r="6" spans="1:1" x14ac:dyDescent="0.25">
      <c r="A6" t="s">
        <v>270</v>
      </c>
    </row>
    <row r="7" spans="1:1" x14ac:dyDescent="0.25">
      <c r="A7" t="s">
        <v>271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64" customWidth="1"/>
    <col min="2" max="4" width="18" customWidth="1"/>
  </cols>
  <sheetData>
    <row r="1" spans="1:4" x14ac:dyDescent="0.25">
      <c r="A1" s="1" t="s">
        <v>272</v>
      </c>
      <c r="B1" s="1" t="s">
        <v>273</v>
      </c>
      <c r="C1" s="1" t="s">
        <v>274</v>
      </c>
      <c r="D1" s="1" t="s">
        <v>275</v>
      </c>
    </row>
    <row r="2" spans="1:4" x14ac:dyDescent="0.25">
      <c r="A2" t="s">
        <v>10</v>
      </c>
      <c r="B2" s="9">
        <v>-929382.3892202505</v>
      </c>
      <c r="C2" s="9">
        <v>-667973.5838303759</v>
      </c>
      <c r="D2" s="9">
        <v>261408.80538987461</v>
      </c>
    </row>
    <row r="3" spans="1:4" x14ac:dyDescent="0.25">
      <c r="A3" t="s">
        <v>13</v>
      </c>
      <c r="B3" s="9">
        <v>-929382.3892202505</v>
      </c>
      <c r="C3" s="9">
        <v>-667973.5838303759</v>
      </c>
      <c r="D3" s="9">
        <v>261408.80538987461</v>
      </c>
    </row>
    <row r="4" spans="1:4" x14ac:dyDescent="0.25">
      <c r="A4" t="s">
        <v>69</v>
      </c>
      <c r="B4" s="9">
        <v>-678677.9865253131</v>
      </c>
      <c r="C4" s="9">
        <v>-918677.9865253131</v>
      </c>
      <c r="D4" s="9">
        <v>240000</v>
      </c>
    </row>
    <row r="5" spans="1:4" x14ac:dyDescent="0.25">
      <c r="A5" t="s">
        <v>18</v>
      </c>
      <c r="B5" s="9">
        <v>-877124.9370362505</v>
      </c>
      <c r="C5" s="9">
        <v>-720231.036014376</v>
      </c>
      <c r="D5" s="9">
        <v>156893.9010218745</v>
      </c>
    </row>
    <row r="6" spans="1:4" x14ac:dyDescent="0.25">
      <c r="A6" t="s">
        <v>73</v>
      </c>
      <c r="B6" s="9">
        <v>-738677.9865253131</v>
      </c>
      <c r="C6" s="9">
        <v>-858677.9865253131</v>
      </c>
      <c r="D6" s="9">
        <v>120000</v>
      </c>
    </row>
    <row r="7" spans="1:4" x14ac:dyDescent="0.25">
      <c r="A7" t="s">
        <v>71</v>
      </c>
      <c r="B7" s="9">
        <v>-738677.9865253131</v>
      </c>
      <c r="C7" s="9">
        <v>-858677.9865253131</v>
      </c>
      <c r="D7" s="9">
        <v>120000</v>
      </c>
    </row>
    <row r="8" spans="1:4" x14ac:dyDescent="0.25">
      <c r="A8" t="s">
        <v>22</v>
      </c>
      <c r="B8" s="9">
        <v>-852489.8776227615</v>
      </c>
      <c r="C8" s="9">
        <v>-744866.0954278647</v>
      </c>
      <c r="D8" s="9">
        <v>107623.78219489683</v>
      </c>
    </row>
    <row r="9" spans="1:4" x14ac:dyDescent="0.25">
      <c r="A9" t="s">
        <v>53</v>
      </c>
      <c r="B9" s="9">
        <v>-850935.438709313</v>
      </c>
      <c r="C9" s="9">
        <v>-746420.5343413132</v>
      </c>
      <c r="D9" s="9">
        <v>104514.90436799987</v>
      </c>
    </row>
    <row r="10" spans="1:4" x14ac:dyDescent="0.25">
      <c r="A10" t="s">
        <v>56</v>
      </c>
      <c r="B10" s="9">
        <v>-850935.438709313</v>
      </c>
      <c r="C10" s="9">
        <v>-746420.5343413132</v>
      </c>
      <c r="D10" s="9">
        <v>104514.90436799987</v>
      </c>
    </row>
    <row r="11" spans="1:4" x14ac:dyDescent="0.25">
      <c r="A11" t="s">
        <v>58</v>
      </c>
      <c r="B11" s="9">
        <v>-850935.438709313</v>
      </c>
      <c r="C11" s="9">
        <v>-746420.5343413132</v>
      </c>
      <c r="D11" s="9">
        <v>104514.90436799987</v>
      </c>
    </row>
    <row r="12" spans="1:4" x14ac:dyDescent="0.25">
      <c r="A12" t="s">
        <v>24</v>
      </c>
      <c r="B12" s="9">
        <v>-848961.8938055211</v>
      </c>
      <c r="C12" s="9">
        <v>-748394.0792451052</v>
      </c>
      <c r="D12" s="9">
        <v>100567.81456041592</v>
      </c>
    </row>
    <row r="13" spans="1:4" x14ac:dyDescent="0.25">
      <c r="A13" t="s">
        <v>20</v>
      </c>
      <c r="B13" s="9">
        <v>-827059.5179188582</v>
      </c>
      <c r="C13" s="9">
        <v>-768250.9393556566</v>
      </c>
      <c r="D13" s="9">
        <v>58808.57856320159</v>
      </c>
    </row>
    <row r="14" spans="1:4" x14ac:dyDescent="0.25">
      <c r="A14" t="s">
        <v>35</v>
      </c>
      <c r="B14" s="9">
        <v>-822278.9817165076</v>
      </c>
      <c r="C14" s="9">
        <v>-775076.9913341189</v>
      </c>
      <c r="D14" s="9">
        <v>47201.9903823887</v>
      </c>
    </row>
    <row r="15" spans="1:4" x14ac:dyDescent="0.25">
      <c r="A15" t="s">
        <v>30</v>
      </c>
      <c r="B15" s="9">
        <v>-816926.1786834532</v>
      </c>
      <c r="C15" s="9">
        <v>-780429.7943671731</v>
      </c>
      <c r="D15" s="9">
        <v>36496.384316280135</v>
      </c>
    </row>
    <row r="17" spans="1:1" x14ac:dyDescent="0.25">
      <c r="A17" t="s">
        <v>276</v>
      </c>
    </row>
    <row r="19" spans="1:4" x14ac:dyDescent="0.25">
      <c r="A19" s="1" t="s">
        <v>277</v>
      </c>
      <c r="B19" s="1" t="s">
        <v>278</v>
      </c>
      <c r="C19" s="1" t="s">
        <v>279</v>
      </c>
      <c r="D19" s="1" t="s">
        <v>280</v>
      </c>
    </row>
    <row r="20" spans="1:4" x14ac:dyDescent="0.25">
      <c r="A20" t="s">
        <v>281</v>
      </c>
      <c r="B20" s="9">
        <v>-833520.4082321998</v>
      </c>
      <c r="C20" s="9">
        <v>-781512.4148825841</v>
      </c>
      <c r="D20" s="9">
        <v>-712168.4237497633</v>
      </c>
    </row>
    <row r="21" spans="1:4" x14ac:dyDescent="0.25">
      <c r="A21" t="s">
        <v>282</v>
      </c>
      <c r="B21" s="9">
        <v>-795977.5871097537</v>
      </c>
      <c r="C21" s="9">
        <v>-730967.5954227343</v>
      </c>
      <c r="D21" s="9">
        <v>-644287.6065067082</v>
      </c>
    </row>
    <row r="22" spans="1:4" x14ac:dyDescent="0.25">
      <c r="A22" t="s">
        <v>283</v>
      </c>
      <c r="B22" s="9">
        <v>-758434.7659873076</v>
      </c>
      <c r="C22" s="9">
        <v>-680422.7759628842</v>
      </c>
      <c r="D22" s="9">
        <v>-576406.789263653</v>
      </c>
    </row>
    <row r="23" spans="1:4" x14ac:dyDescent="0.25">
      <c r="A23" t="s">
        <v>284</v>
      </c>
      <c r="B23" s="9">
        <v>-720891.9448648614</v>
      </c>
      <c r="C23" s="9">
        <v>-629877.9565030341</v>
      </c>
      <c r="D23" s="9">
        <v>-508525.9720205976</v>
      </c>
    </row>
    <row r="24" spans="1:4" x14ac:dyDescent="0.25">
      <c r="A24" t="s">
        <v>285</v>
      </c>
      <c r="B24" s="9">
        <v>-683349.1237424155</v>
      </c>
      <c r="C24" s="9">
        <v>-579333.1370431841</v>
      </c>
      <c r="D24" s="9">
        <v>-440645.1547775425</v>
      </c>
    </row>
    <row r="25" spans="1:4" x14ac:dyDescent="0.25">
      <c r="A25" s="1" t="s">
        <v>286</v>
      </c>
      <c r="B25" s="1" t="s">
        <v>278</v>
      </c>
      <c r="C25" s="1" t="s">
        <v>279</v>
      </c>
      <c r="D25" s="1" t="s">
        <v>280</v>
      </c>
    </row>
    <row r="26" spans="1:4" x14ac:dyDescent="0.25">
      <c r="A26" t="s">
        <v>281</v>
      </c>
      <c r="B26" s="14">
        <v>30.47341019314791</v>
      </c>
      <c r="C26" s="14">
        <v>28.41680846255858</v>
      </c>
      <c r="D26" s="14">
        <v>25.674672821772795</v>
      </c>
    </row>
    <row r="27" spans="1:4" x14ac:dyDescent="0.25">
      <c r="A27" t="s">
        <v>282</v>
      </c>
      <c r="B27" s="14">
        <v>23.191054861721327</v>
      </c>
      <c r="C27" s="14">
        <v>21.13445313113199</v>
      </c>
      <c r="D27" s="14">
        <v>18.39231749034621</v>
      </c>
    </row>
    <row r="28" spans="1:4" x14ac:dyDescent="0.25">
      <c r="A28" t="s">
        <v>283</v>
      </c>
      <c r="B28" s="14">
        <v>18.336151307436932</v>
      </c>
      <c r="C28" s="14">
        <v>16.279549576847593</v>
      </c>
      <c r="D28" s="14">
        <v>13.537413936061817</v>
      </c>
    </row>
    <row r="29" spans="1:4" x14ac:dyDescent="0.25">
      <c r="A29" t="s">
        <v>284</v>
      </c>
      <c r="B29" s="14">
        <v>14.868363054376648</v>
      </c>
      <c r="C29" s="14">
        <v>12.811761323787318</v>
      </c>
      <c r="D29" s="14">
        <v>10.06962568300153</v>
      </c>
    </row>
    <row r="30" spans="1:4" x14ac:dyDescent="0.25">
      <c r="A30" t="s">
        <v>285</v>
      </c>
      <c r="B30" s="14">
        <v>12.267521864581438</v>
      </c>
      <c r="C30" s="14">
        <v>10.210920133992103</v>
      </c>
      <c r="D30" s="14">
        <v>7.468784493206323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50" customWidth="1"/>
  </cols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  <row r="4" spans="1:1" x14ac:dyDescent="0.25">
      <c r="A4" t="s">
        <v>290</v>
      </c>
    </row>
    <row r="5" spans="1:1" x14ac:dyDescent="0.25">
      <c r="A5" t="s">
        <v>291</v>
      </c>
    </row>
    <row r="6" spans="1:1" x14ac:dyDescent="0.25">
      <c r="A6" t="s">
        <v>292</v>
      </c>
    </row>
    <row r="7" spans="1:1" x14ac:dyDescent="0.25">
      <c r="A7" t="s">
        <v>293</v>
      </c>
    </row>
    <row r="8" spans="1:1" x14ac:dyDescent="0.25">
      <c r="A8" t="s">
        <v>294</v>
      </c>
    </row>
    <row r="9" spans="1:1" x14ac:dyDescent="0.25">
      <c r="A9" t="s">
        <v>295</v>
      </c>
    </row>
    <row r="10" spans="1:1" x14ac:dyDescent="0.25">
      <c r="A10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Supuestos</vt:lpstr>
      <vt:lpstr>Modelo Houston</vt:lpstr>
      <vt:lpstr>Red 5 años</vt:lpstr>
      <vt:lpstr>Resumen</vt:lpstr>
      <vt:lpstr>Disciplina financiera</vt:lpstr>
      <vt:lpstr>Monte Carlo</vt:lpstr>
      <vt:lpstr>Sensibilidad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ISAC 2026 · Caso Club América</dc:creator>
  <dc:title/>
  <dc:subject/>
  <dc:description/>
  <cp:keywords/>
  <cp:category/>
  <cp:lastModifiedBy>Unknown</cp:lastModifiedBy>
  <dcterms:created xsi:type="dcterms:W3CDTF">2026-10-23T04:19:26Z</dcterms:created>
  <dcterms:modified xsi:type="dcterms:W3CDTF">2026-10-23T04:19:26Z</dcterms:modified>
</cp:coreProperties>
</file>